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Q:\Finances Communales\1. Péréquations\NPIV 2027\Acomptes 2027\"/>
    </mc:Choice>
  </mc:AlternateContent>
  <xr:revisionPtr revIDLastSave="0" documentId="13_ncr:1_{C23E2D51-B188-4DAE-A94C-1604D85C340C}" xr6:coauthVersionLast="47" xr6:coauthVersionMax="47" xr10:uidLastSave="{00000000-0000-0000-0000-000000000000}"/>
  <bookViews>
    <workbookView xWindow="-120" yWindow="-120" windowWidth="29040" windowHeight="15720" tabRatio="1000" xr2:uid="{E3323243-2D95-41FA-A8F2-9D8F1668BA21}"/>
  </bookViews>
  <sheets>
    <sheet name="Table des matières" sheetId="56" r:id="rId1"/>
    <sheet name="Paramètres" sheetId="50" r:id="rId2"/>
    <sheet name="Données" sheetId="53" r:id="rId3"/>
    <sheet name="RFS" sheetId="2" r:id="rId4"/>
    <sheet name="Ressources" sheetId="3" r:id="rId5"/>
    <sheet name="Besoins structurels" sheetId="9" r:id="rId6"/>
    <sheet name="Charges des villes" sheetId="21" r:id="rId7"/>
    <sheet name="PCS" sheetId="4" r:id="rId8"/>
    <sheet name="Police" sheetId="29" r:id="rId9"/>
    <sheet name="Synthèse" sheetId="55" r:id="rId10"/>
    <sheet name="Synthèse par commune" sheetId="57" r:id="rId11"/>
    <sheet name="Détail par commune" sheetId="45" r:id="rId12"/>
    <sheet name="Données par commune" sheetId="59" r:id="rId13"/>
    <sheet name="Prévisionnel" sheetId="60" state="hidden" r:id="rId14"/>
  </sheets>
  <externalReferences>
    <externalReference r:id="rId15"/>
    <externalReference r:id="rId16"/>
  </externalReferences>
  <definedNames>
    <definedName name="_DH01V01">#REF!</definedName>
    <definedName name="_DH02V01">#REF!</definedName>
    <definedName name="_DH03V01">#REF!</definedName>
    <definedName name="_xlnm._FilterDatabase" localSheetId="5" hidden="1">'Besoins structurels'!$A$7:$V$7</definedName>
    <definedName name="_xlnm._FilterDatabase" localSheetId="6" hidden="1">'Charges des villes'!$A$7:$N$302</definedName>
    <definedName name="_xlnm._FilterDatabase" localSheetId="7" hidden="1">PCS!$A$7:$D$7</definedName>
    <definedName name="_xlnm._FilterDatabase" localSheetId="8" hidden="1">Police!$A$7:$U$7</definedName>
    <definedName name="_xlnm._FilterDatabase" localSheetId="13" hidden="1">Prévisionnel!$A$7:$C$7</definedName>
    <definedName name="_xlnm._FilterDatabase" localSheetId="9" hidden="1">Synthèse!$A$7:$C$7</definedName>
    <definedName name="_H01">#REF!</definedName>
    <definedName name="_H02">#REF!</definedName>
    <definedName name="_H03">#REF!</definedName>
    <definedName name="_N01">#REF!</definedName>
    <definedName name="_N02">#REF!</definedName>
    <definedName name="_N03">#REF!</definedName>
    <definedName name="_V01">#REF!</definedName>
    <definedName name="AS_Bereich">#REF!</definedName>
    <definedName name="_xlnm.Database" localSheetId="0">#REF!</definedName>
    <definedName name="_xlnm.Database">#REF!</definedName>
    <definedName name="_xlnm.Print_Titles" localSheetId="2">Données!$1:$7</definedName>
    <definedName name="_xlnm.Print_Titles" localSheetId="4">Ressources!$1:$7</definedName>
    <definedName name="_xlnm.Print_Titles" localSheetId="3">RFS!$1:$7</definedName>
    <definedName name="ind">2</definedName>
    <definedName name="o">'[1]Kantone SfproE 2004-09'!$A$22:$M$47</definedName>
    <definedName name="ooo">'[2]Kantone SfproE 2004-09'!$A$22:$M$47</definedName>
    <definedName name="sfproe_csv">#REF!</definedName>
    <definedName name="Sortierbereich">#REF!</definedName>
    <definedName name="Sortierbereichtemp">#REF!</definedName>
    <definedName name="SortierungLC">#REF!</definedName>
    <definedName name="_xlnm.Print_Area" localSheetId="11">'Détail par commune'!$A$1:$U$39</definedName>
    <definedName name="_xlnm.Print_Area" localSheetId="12">'Données par commune'!$A$1:$I$23</definedName>
    <definedName name="_xlnm.Print_Area" localSheetId="10">'Synthèse par commune'!$A$1:$H$33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7" i="29" l="1"/>
  <c r="K6" i="50"/>
  <c r="I260" i="53" l="1"/>
  <c r="H260" i="53"/>
  <c r="C9" i="2" l="1"/>
  <c r="D9" i="2"/>
  <c r="E9" i="2"/>
  <c r="F9" i="2"/>
  <c r="G9" i="2"/>
  <c r="H9" i="2"/>
  <c r="I9" i="2"/>
  <c r="J9" i="2"/>
  <c r="K9" i="2"/>
  <c r="L9" i="2"/>
  <c r="M9" i="2"/>
  <c r="O9" i="2"/>
  <c r="P9" i="2"/>
  <c r="Q9" i="2"/>
  <c r="R9" i="2"/>
  <c r="C10" i="2"/>
  <c r="D10" i="2"/>
  <c r="E10" i="2"/>
  <c r="F10" i="2"/>
  <c r="G10" i="2"/>
  <c r="H10" i="2"/>
  <c r="I10" i="2"/>
  <c r="J10" i="2"/>
  <c r="K10" i="2"/>
  <c r="L10" i="2"/>
  <c r="M10" i="2"/>
  <c r="O10" i="2"/>
  <c r="P10" i="2"/>
  <c r="Q10" i="2"/>
  <c r="R10" i="2"/>
  <c r="C11" i="2"/>
  <c r="D11" i="2"/>
  <c r="E11" i="2"/>
  <c r="F11" i="2"/>
  <c r="G11" i="2"/>
  <c r="H11" i="2"/>
  <c r="I11" i="2"/>
  <c r="J11" i="2"/>
  <c r="K11" i="2"/>
  <c r="L11" i="2"/>
  <c r="M11" i="2"/>
  <c r="O11" i="2"/>
  <c r="P11" i="2"/>
  <c r="Q11" i="2"/>
  <c r="R11" i="2"/>
  <c r="C12" i="2"/>
  <c r="D12" i="2"/>
  <c r="E12" i="2"/>
  <c r="F12" i="2"/>
  <c r="G12" i="2"/>
  <c r="H12" i="2"/>
  <c r="I12" i="2"/>
  <c r="J12" i="2"/>
  <c r="K12" i="2"/>
  <c r="L12" i="2"/>
  <c r="M12" i="2"/>
  <c r="O12" i="2"/>
  <c r="P12" i="2"/>
  <c r="Q12" i="2"/>
  <c r="R12" i="2"/>
  <c r="C13" i="2"/>
  <c r="D13" i="2"/>
  <c r="E13" i="2"/>
  <c r="F13" i="2"/>
  <c r="G13" i="2"/>
  <c r="H13" i="2"/>
  <c r="I13" i="2"/>
  <c r="J13" i="2"/>
  <c r="K13" i="2"/>
  <c r="L13" i="2"/>
  <c r="M13" i="2"/>
  <c r="O13" i="2"/>
  <c r="P13" i="2"/>
  <c r="Q13" i="2"/>
  <c r="R13" i="2"/>
  <c r="C14" i="2"/>
  <c r="D14" i="2"/>
  <c r="E14" i="2"/>
  <c r="F14" i="2"/>
  <c r="G14" i="2"/>
  <c r="H14" i="2"/>
  <c r="I14" i="2"/>
  <c r="J14" i="2"/>
  <c r="K14" i="2"/>
  <c r="L14" i="2"/>
  <c r="M14" i="2"/>
  <c r="O14" i="2"/>
  <c r="P14" i="2"/>
  <c r="Q14" i="2"/>
  <c r="R14" i="2"/>
  <c r="C15" i="2"/>
  <c r="D15" i="2"/>
  <c r="E15" i="2"/>
  <c r="F15" i="2"/>
  <c r="G15" i="2"/>
  <c r="H15" i="2"/>
  <c r="I15" i="2"/>
  <c r="J15" i="2"/>
  <c r="K15" i="2"/>
  <c r="L15" i="2"/>
  <c r="M15" i="2"/>
  <c r="O15" i="2"/>
  <c r="P15" i="2"/>
  <c r="Q15" i="2"/>
  <c r="R15" i="2"/>
  <c r="C16" i="2"/>
  <c r="D16" i="2"/>
  <c r="E16" i="2"/>
  <c r="F16" i="2"/>
  <c r="G16" i="2"/>
  <c r="H16" i="2"/>
  <c r="I16" i="2"/>
  <c r="J16" i="2"/>
  <c r="K16" i="2"/>
  <c r="L16" i="2"/>
  <c r="M16" i="2"/>
  <c r="O16" i="2"/>
  <c r="P16" i="2"/>
  <c r="Q16" i="2"/>
  <c r="R16" i="2"/>
  <c r="C17" i="2"/>
  <c r="D17" i="2"/>
  <c r="E17" i="2"/>
  <c r="F17" i="2"/>
  <c r="G17" i="2"/>
  <c r="H17" i="2"/>
  <c r="I17" i="2"/>
  <c r="J17" i="2"/>
  <c r="K17" i="2"/>
  <c r="L17" i="2"/>
  <c r="M17" i="2"/>
  <c r="O17" i="2"/>
  <c r="P17" i="2"/>
  <c r="Q17" i="2"/>
  <c r="R17" i="2"/>
  <c r="C18" i="2"/>
  <c r="D18" i="2"/>
  <c r="E18" i="2"/>
  <c r="F18" i="2"/>
  <c r="G18" i="2"/>
  <c r="H18" i="2"/>
  <c r="I18" i="2"/>
  <c r="J18" i="2"/>
  <c r="K18" i="2"/>
  <c r="L18" i="2"/>
  <c r="M18" i="2"/>
  <c r="O18" i="2"/>
  <c r="P18" i="2"/>
  <c r="Q18" i="2"/>
  <c r="R18" i="2"/>
  <c r="C19" i="2"/>
  <c r="D19" i="2"/>
  <c r="E19" i="2"/>
  <c r="F19" i="2"/>
  <c r="G19" i="2"/>
  <c r="H19" i="2"/>
  <c r="I19" i="2"/>
  <c r="J19" i="2"/>
  <c r="K19" i="2"/>
  <c r="L19" i="2"/>
  <c r="M19" i="2"/>
  <c r="O19" i="2"/>
  <c r="P19" i="2"/>
  <c r="Q19" i="2"/>
  <c r="R19" i="2"/>
  <c r="C20" i="2"/>
  <c r="D20" i="2"/>
  <c r="E20" i="2"/>
  <c r="F20" i="2"/>
  <c r="G20" i="2"/>
  <c r="H20" i="2"/>
  <c r="I20" i="2"/>
  <c r="J20" i="2"/>
  <c r="K20" i="2"/>
  <c r="L20" i="2"/>
  <c r="M20" i="2"/>
  <c r="O20" i="2"/>
  <c r="P20" i="2"/>
  <c r="Q20" i="2"/>
  <c r="R20" i="2"/>
  <c r="C21" i="2"/>
  <c r="D21" i="2"/>
  <c r="E21" i="2"/>
  <c r="F21" i="2"/>
  <c r="G21" i="2"/>
  <c r="H21" i="2"/>
  <c r="I21" i="2"/>
  <c r="J21" i="2"/>
  <c r="K21" i="2"/>
  <c r="L21" i="2"/>
  <c r="M21" i="2"/>
  <c r="O21" i="2"/>
  <c r="P21" i="2"/>
  <c r="Q21" i="2"/>
  <c r="R21" i="2"/>
  <c r="C22" i="2"/>
  <c r="D22" i="2"/>
  <c r="E22" i="2"/>
  <c r="F22" i="2"/>
  <c r="G22" i="2"/>
  <c r="H22" i="2"/>
  <c r="I22" i="2"/>
  <c r="J22" i="2"/>
  <c r="K22" i="2"/>
  <c r="L22" i="2"/>
  <c r="M22" i="2"/>
  <c r="O22" i="2"/>
  <c r="P22" i="2"/>
  <c r="Q22" i="2"/>
  <c r="R22" i="2"/>
  <c r="C23" i="2"/>
  <c r="D23" i="2"/>
  <c r="E23" i="2"/>
  <c r="F23" i="2"/>
  <c r="G23" i="2"/>
  <c r="H23" i="2"/>
  <c r="I23" i="2"/>
  <c r="J23" i="2"/>
  <c r="K23" i="2"/>
  <c r="L23" i="2"/>
  <c r="M23" i="2"/>
  <c r="O23" i="2"/>
  <c r="P23" i="2"/>
  <c r="Q23" i="2"/>
  <c r="R23" i="2"/>
  <c r="C24" i="2"/>
  <c r="D24" i="2"/>
  <c r="E24" i="2"/>
  <c r="F24" i="2"/>
  <c r="G24" i="2"/>
  <c r="H24" i="2"/>
  <c r="I24" i="2"/>
  <c r="J24" i="2"/>
  <c r="K24" i="2"/>
  <c r="L24" i="2"/>
  <c r="M24" i="2"/>
  <c r="O24" i="2"/>
  <c r="P24" i="2"/>
  <c r="Q24" i="2"/>
  <c r="R24" i="2"/>
  <c r="C25" i="2"/>
  <c r="D25" i="2"/>
  <c r="E25" i="2"/>
  <c r="F25" i="2"/>
  <c r="G25" i="2"/>
  <c r="H25" i="2"/>
  <c r="I25" i="2"/>
  <c r="J25" i="2"/>
  <c r="K25" i="2"/>
  <c r="L25" i="2"/>
  <c r="M25" i="2"/>
  <c r="O25" i="2"/>
  <c r="P25" i="2"/>
  <c r="Q25" i="2"/>
  <c r="R25" i="2"/>
  <c r="C26" i="2"/>
  <c r="D26" i="2"/>
  <c r="E26" i="2"/>
  <c r="F26" i="2"/>
  <c r="G26" i="2"/>
  <c r="H26" i="2"/>
  <c r="I26" i="2"/>
  <c r="J26" i="2"/>
  <c r="K26" i="2"/>
  <c r="L26" i="2"/>
  <c r="M26" i="2"/>
  <c r="O26" i="2"/>
  <c r="P26" i="2"/>
  <c r="Q26" i="2"/>
  <c r="R26" i="2"/>
  <c r="C27" i="2"/>
  <c r="D27" i="2"/>
  <c r="E27" i="2"/>
  <c r="H27" i="2"/>
  <c r="I27" i="2"/>
  <c r="J27" i="2"/>
  <c r="K27" i="2"/>
  <c r="L27" i="2"/>
  <c r="M27" i="2"/>
  <c r="O27" i="2"/>
  <c r="P27" i="2"/>
  <c r="Q27" i="2"/>
  <c r="R27" i="2"/>
  <c r="C28" i="2"/>
  <c r="D28" i="2"/>
  <c r="E28" i="2"/>
  <c r="F28" i="2"/>
  <c r="G28" i="2"/>
  <c r="H28" i="2"/>
  <c r="I28" i="2"/>
  <c r="J28" i="2"/>
  <c r="K28" i="2"/>
  <c r="L28" i="2"/>
  <c r="M28" i="2"/>
  <c r="O28" i="2"/>
  <c r="P28" i="2"/>
  <c r="Q28" i="2"/>
  <c r="R28" i="2"/>
  <c r="C29" i="2"/>
  <c r="D29" i="2"/>
  <c r="E29" i="2"/>
  <c r="F29" i="2"/>
  <c r="G29" i="2"/>
  <c r="H29" i="2"/>
  <c r="I29" i="2"/>
  <c r="J29" i="2"/>
  <c r="K29" i="2"/>
  <c r="L29" i="2"/>
  <c r="M29" i="2"/>
  <c r="O29" i="2"/>
  <c r="P29" i="2"/>
  <c r="Q29" i="2"/>
  <c r="R29" i="2"/>
  <c r="C30" i="2"/>
  <c r="D30" i="2"/>
  <c r="E30" i="2"/>
  <c r="F30" i="2"/>
  <c r="G30" i="2"/>
  <c r="H30" i="2"/>
  <c r="I30" i="2"/>
  <c r="J30" i="2"/>
  <c r="K30" i="2"/>
  <c r="L30" i="2"/>
  <c r="M30" i="2"/>
  <c r="O30" i="2"/>
  <c r="P30" i="2"/>
  <c r="Q30" i="2"/>
  <c r="R30" i="2"/>
  <c r="C31" i="2"/>
  <c r="D31" i="2"/>
  <c r="E31" i="2"/>
  <c r="F31" i="2"/>
  <c r="G31" i="2"/>
  <c r="H31" i="2"/>
  <c r="I31" i="2"/>
  <c r="J31" i="2"/>
  <c r="K31" i="2"/>
  <c r="L31" i="2"/>
  <c r="M31" i="2"/>
  <c r="O31" i="2"/>
  <c r="P31" i="2"/>
  <c r="Q31" i="2"/>
  <c r="R31" i="2"/>
  <c r="C32" i="2"/>
  <c r="D32" i="2"/>
  <c r="E32" i="2"/>
  <c r="H32" i="2"/>
  <c r="I32" i="2"/>
  <c r="J32" i="2"/>
  <c r="K32" i="2"/>
  <c r="L32" i="2"/>
  <c r="M32" i="2"/>
  <c r="O32" i="2"/>
  <c r="P32" i="2"/>
  <c r="Q32" i="2"/>
  <c r="R32" i="2"/>
  <c r="C33" i="2"/>
  <c r="D33" i="2"/>
  <c r="E33" i="2"/>
  <c r="G33" i="2"/>
  <c r="H33" i="2"/>
  <c r="I33" i="2"/>
  <c r="J33" i="2"/>
  <c r="K33" i="2"/>
  <c r="L33" i="2"/>
  <c r="M33" i="2"/>
  <c r="O33" i="2"/>
  <c r="P33" i="2"/>
  <c r="Q33" i="2"/>
  <c r="R33" i="2"/>
  <c r="C34" i="2"/>
  <c r="D34" i="2"/>
  <c r="E34" i="2"/>
  <c r="F34" i="2"/>
  <c r="G34" i="2"/>
  <c r="H34" i="2"/>
  <c r="I34" i="2"/>
  <c r="J34" i="2"/>
  <c r="K34" i="2"/>
  <c r="L34" i="2"/>
  <c r="M34" i="2"/>
  <c r="O34" i="2"/>
  <c r="P34" i="2"/>
  <c r="Q34" i="2"/>
  <c r="R34" i="2"/>
  <c r="C35" i="2"/>
  <c r="D35" i="2"/>
  <c r="E35" i="2"/>
  <c r="F35" i="2"/>
  <c r="G35" i="2"/>
  <c r="H35" i="2"/>
  <c r="I35" i="2"/>
  <c r="J35" i="2"/>
  <c r="K35" i="2"/>
  <c r="L35" i="2"/>
  <c r="M35" i="2"/>
  <c r="O35" i="2"/>
  <c r="P35" i="2"/>
  <c r="Q35" i="2"/>
  <c r="R35" i="2"/>
  <c r="C36" i="2"/>
  <c r="D36" i="2"/>
  <c r="E36" i="2"/>
  <c r="F36" i="2"/>
  <c r="G36" i="2"/>
  <c r="H36" i="2"/>
  <c r="I36" i="2"/>
  <c r="J36" i="2"/>
  <c r="K36" i="2"/>
  <c r="L36" i="2"/>
  <c r="M36" i="2"/>
  <c r="O36" i="2"/>
  <c r="P36" i="2"/>
  <c r="Q36" i="2"/>
  <c r="R36" i="2"/>
  <c r="C37" i="2"/>
  <c r="D37" i="2"/>
  <c r="E37" i="2"/>
  <c r="F37" i="2"/>
  <c r="G37" i="2"/>
  <c r="H37" i="2"/>
  <c r="I37" i="2"/>
  <c r="J37" i="2"/>
  <c r="K37" i="2"/>
  <c r="L37" i="2"/>
  <c r="M37" i="2"/>
  <c r="O37" i="2"/>
  <c r="P37" i="2"/>
  <c r="Q37" i="2"/>
  <c r="R37" i="2"/>
  <c r="C38" i="2"/>
  <c r="D38" i="2"/>
  <c r="E38" i="2"/>
  <c r="F38" i="2"/>
  <c r="G38" i="2"/>
  <c r="H38" i="2"/>
  <c r="I38" i="2"/>
  <c r="J38" i="2"/>
  <c r="K38" i="2"/>
  <c r="L38" i="2"/>
  <c r="M38" i="2"/>
  <c r="O38" i="2"/>
  <c r="P38" i="2"/>
  <c r="Q38" i="2"/>
  <c r="R38" i="2"/>
  <c r="C39" i="2"/>
  <c r="D39" i="2"/>
  <c r="E39" i="2"/>
  <c r="F39" i="2"/>
  <c r="G39" i="2"/>
  <c r="H39" i="2"/>
  <c r="I39" i="2"/>
  <c r="J39" i="2"/>
  <c r="K39" i="2"/>
  <c r="L39" i="2"/>
  <c r="M39" i="2"/>
  <c r="O39" i="2"/>
  <c r="P39" i="2"/>
  <c r="Q39" i="2"/>
  <c r="R39" i="2"/>
  <c r="C40" i="2"/>
  <c r="D40" i="2"/>
  <c r="E40" i="2"/>
  <c r="F40" i="2"/>
  <c r="G40" i="2"/>
  <c r="H40" i="2"/>
  <c r="I40" i="2"/>
  <c r="J40" i="2"/>
  <c r="K40" i="2"/>
  <c r="L40" i="2"/>
  <c r="M40" i="2"/>
  <c r="O40" i="2"/>
  <c r="P40" i="2"/>
  <c r="Q40" i="2"/>
  <c r="R40" i="2"/>
  <c r="C41" i="2"/>
  <c r="D41" i="2"/>
  <c r="E41" i="2"/>
  <c r="F41" i="2"/>
  <c r="G41" i="2"/>
  <c r="H41" i="2"/>
  <c r="I41" i="2"/>
  <c r="J41" i="2"/>
  <c r="K41" i="2"/>
  <c r="L41" i="2"/>
  <c r="M41" i="2"/>
  <c r="O41" i="2"/>
  <c r="P41" i="2"/>
  <c r="Q41" i="2"/>
  <c r="R41" i="2"/>
  <c r="C42" i="2"/>
  <c r="D42" i="2"/>
  <c r="E42" i="2"/>
  <c r="F42" i="2"/>
  <c r="G42" i="2"/>
  <c r="H42" i="2"/>
  <c r="I42" i="2"/>
  <c r="J42" i="2"/>
  <c r="K42" i="2"/>
  <c r="L42" i="2"/>
  <c r="M42" i="2"/>
  <c r="O42" i="2"/>
  <c r="P42" i="2"/>
  <c r="Q42" i="2"/>
  <c r="R42" i="2"/>
  <c r="C43" i="2"/>
  <c r="D43" i="2"/>
  <c r="E43" i="2"/>
  <c r="F43" i="2"/>
  <c r="G43" i="2"/>
  <c r="H43" i="2"/>
  <c r="I43" i="2"/>
  <c r="J43" i="2"/>
  <c r="K43" i="2"/>
  <c r="L43" i="2"/>
  <c r="M43" i="2"/>
  <c r="O43" i="2"/>
  <c r="P43" i="2"/>
  <c r="Q43" i="2"/>
  <c r="R43" i="2"/>
  <c r="C44" i="2"/>
  <c r="D44" i="2"/>
  <c r="E44" i="2"/>
  <c r="F44" i="2"/>
  <c r="G44" i="2"/>
  <c r="H44" i="2"/>
  <c r="I44" i="2"/>
  <c r="J44" i="2"/>
  <c r="K44" i="2"/>
  <c r="L44" i="2"/>
  <c r="M44" i="2"/>
  <c r="O44" i="2"/>
  <c r="P44" i="2"/>
  <c r="Q44" i="2"/>
  <c r="R44" i="2"/>
  <c r="C45" i="2"/>
  <c r="D45" i="2"/>
  <c r="E45" i="2"/>
  <c r="F45" i="2"/>
  <c r="G45" i="2"/>
  <c r="H45" i="2"/>
  <c r="I45" i="2"/>
  <c r="J45" i="2"/>
  <c r="K45" i="2"/>
  <c r="L45" i="2"/>
  <c r="M45" i="2"/>
  <c r="O45" i="2"/>
  <c r="P45" i="2"/>
  <c r="Q45" i="2"/>
  <c r="R45" i="2"/>
  <c r="C46" i="2"/>
  <c r="D46" i="2"/>
  <c r="E46" i="2"/>
  <c r="F46" i="2"/>
  <c r="G46" i="2"/>
  <c r="H46" i="2"/>
  <c r="I46" i="2"/>
  <c r="J46" i="2"/>
  <c r="K46" i="2"/>
  <c r="L46" i="2"/>
  <c r="M46" i="2"/>
  <c r="O46" i="2"/>
  <c r="P46" i="2"/>
  <c r="Q46" i="2"/>
  <c r="R46" i="2"/>
  <c r="C47" i="2"/>
  <c r="D47" i="2"/>
  <c r="E47" i="2"/>
  <c r="F47" i="2"/>
  <c r="G47" i="2"/>
  <c r="H47" i="2"/>
  <c r="I47" i="2"/>
  <c r="J47" i="2"/>
  <c r="K47" i="2"/>
  <c r="L47" i="2"/>
  <c r="M47" i="2"/>
  <c r="O47" i="2"/>
  <c r="P47" i="2"/>
  <c r="Q47" i="2"/>
  <c r="R47" i="2"/>
  <c r="C48" i="2"/>
  <c r="D48" i="2"/>
  <c r="E48" i="2"/>
  <c r="F48" i="2"/>
  <c r="G48" i="2"/>
  <c r="H48" i="2"/>
  <c r="I48" i="2"/>
  <c r="J48" i="2"/>
  <c r="K48" i="2"/>
  <c r="L48" i="2"/>
  <c r="M48" i="2"/>
  <c r="O48" i="2"/>
  <c r="P48" i="2"/>
  <c r="Q48" i="2"/>
  <c r="R48" i="2"/>
  <c r="C49" i="2"/>
  <c r="D49" i="2"/>
  <c r="E49" i="2"/>
  <c r="F49" i="2"/>
  <c r="G49" i="2"/>
  <c r="H49" i="2"/>
  <c r="I49" i="2"/>
  <c r="J49" i="2"/>
  <c r="K49" i="2"/>
  <c r="L49" i="2"/>
  <c r="M49" i="2"/>
  <c r="O49" i="2"/>
  <c r="P49" i="2"/>
  <c r="Q49" i="2"/>
  <c r="R49" i="2"/>
  <c r="C50" i="2"/>
  <c r="D50" i="2"/>
  <c r="E50" i="2"/>
  <c r="F50" i="2"/>
  <c r="G50" i="2"/>
  <c r="H50" i="2"/>
  <c r="I50" i="2"/>
  <c r="J50" i="2"/>
  <c r="K50" i="2"/>
  <c r="L50" i="2"/>
  <c r="M50" i="2"/>
  <c r="O50" i="2"/>
  <c r="P50" i="2"/>
  <c r="Q50" i="2"/>
  <c r="R50" i="2"/>
  <c r="C51" i="2"/>
  <c r="D51" i="2"/>
  <c r="E51" i="2"/>
  <c r="F51" i="2"/>
  <c r="G51" i="2"/>
  <c r="H51" i="2"/>
  <c r="I51" i="2"/>
  <c r="J51" i="2"/>
  <c r="K51" i="2"/>
  <c r="L51" i="2"/>
  <c r="M51" i="2"/>
  <c r="O51" i="2"/>
  <c r="P51" i="2"/>
  <c r="Q51" i="2"/>
  <c r="R51" i="2"/>
  <c r="C52" i="2"/>
  <c r="D52" i="2"/>
  <c r="E52" i="2"/>
  <c r="F52" i="2"/>
  <c r="G52" i="2"/>
  <c r="H52" i="2"/>
  <c r="I52" i="2"/>
  <c r="J52" i="2"/>
  <c r="K52" i="2"/>
  <c r="L52" i="2"/>
  <c r="M52" i="2"/>
  <c r="O52" i="2"/>
  <c r="P52" i="2"/>
  <c r="Q52" i="2"/>
  <c r="R52" i="2"/>
  <c r="C53" i="2"/>
  <c r="D53" i="2"/>
  <c r="E53" i="2"/>
  <c r="F53" i="2"/>
  <c r="G53" i="2"/>
  <c r="H53" i="2"/>
  <c r="I53" i="2"/>
  <c r="J53" i="2"/>
  <c r="K53" i="2"/>
  <c r="L53" i="2"/>
  <c r="M53" i="2"/>
  <c r="O53" i="2"/>
  <c r="P53" i="2"/>
  <c r="Q53" i="2"/>
  <c r="R53" i="2"/>
  <c r="C54" i="2"/>
  <c r="D54" i="2"/>
  <c r="E54" i="2"/>
  <c r="F54" i="2"/>
  <c r="G54" i="2"/>
  <c r="H54" i="2"/>
  <c r="I54" i="2"/>
  <c r="J54" i="2"/>
  <c r="K54" i="2"/>
  <c r="L54" i="2"/>
  <c r="M54" i="2"/>
  <c r="O54" i="2"/>
  <c r="P54" i="2"/>
  <c r="Q54" i="2"/>
  <c r="R54" i="2"/>
  <c r="C55" i="2"/>
  <c r="D55" i="2"/>
  <c r="E55" i="2"/>
  <c r="F55" i="2"/>
  <c r="G55" i="2"/>
  <c r="H55" i="2"/>
  <c r="I55" i="2"/>
  <c r="J55" i="2"/>
  <c r="K55" i="2"/>
  <c r="L55" i="2"/>
  <c r="M55" i="2"/>
  <c r="O55" i="2"/>
  <c r="P55" i="2"/>
  <c r="Q55" i="2"/>
  <c r="R55" i="2"/>
  <c r="C56" i="2"/>
  <c r="D56" i="2"/>
  <c r="E56" i="2"/>
  <c r="F56" i="2"/>
  <c r="G56" i="2"/>
  <c r="H56" i="2"/>
  <c r="I56" i="2"/>
  <c r="J56" i="2"/>
  <c r="K56" i="2"/>
  <c r="L56" i="2"/>
  <c r="M56" i="2"/>
  <c r="O56" i="2"/>
  <c r="P56" i="2"/>
  <c r="Q56" i="2"/>
  <c r="R56" i="2"/>
  <c r="C57" i="2"/>
  <c r="D57" i="2"/>
  <c r="E57" i="2"/>
  <c r="F57" i="2"/>
  <c r="G57" i="2"/>
  <c r="H57" i="2"/>
  <c r="I57" i="2"/>
  <c r="J57" i="2"/>
  <c r="K57" i="2"/>
  <c r="L57" i="2"/>
  <c r="M57" i="2"/>
  <c r="O57" i="2"/>
  <c r="P57" i="2"/>
  <c r="Q57" i="2"/>
  <c r="R57" i="2"/>
  <c r="C58" i="2"/>
  <c r="D58" i="2"/>
  <c r="E58" i="2"/>
  <c r="F58" i="2"/>
  <c r="G58" i="2"/>
  <c r="H58" i="2"/>
  <c r="I58" i="2"/>
  <c r="J58" i="2"/>
  <c r="K58" i="2"/>
  <c r="L58" i="2"/>
  <c r="M58" i="2"/>
  <c r="O58" i="2"/>
  <c r="P58" i="2"/>
  <c r="Q58" i="2"/>
  <c r="R58" i="2"/>
  <c r="C59" i="2"/>
  <c r="D59" i="2"/>
  <c r="E59" i="2"/>
  <c r="F59" i="2"/>
  <c r="G59" i="2"/>
  <c r="H59" i="2"/>
  <c r="I59" i="2"/>
  <c r="J59" i="2"/>
  <c r="K59" i="2"/>
  <c r="L59" i="2"/>
  <c r="M59" i="2"/>
  <c r="O59" i="2"/>
  <c r="P59" i="2"/>
  <c r="Q59" i="2"/>
  <c r="R59" i="2"/>
  <c r="C60" i="2"/>
  <c r="D60" i="2"/>
  <c r="E60" i="2"/>
  <c r="F60" i="2"/>
  <c r="G60" i="2"/>
  <c r="H60" i="2"/>
  <c r="I60" i="2"/>
  <c r="J60" i="2"/>
  <c r="K60" i="2"/>
  <c r="L60" i="2"/>
  <c r="M60" i="2"/>
  <c r="O60" i="2"/>
  <c r="P60" i="2"/>
  <c r="Q60" i="2"/>
  <c r="R60" i="2"/>
  <c r="C61" i="2"/>
  <c r="D61" i="2"/>
  <c r="E61" i="2"/>
  <c r="F61" i="2"/>
  <c r="G61" i="2"/>
  <c r="H61" i="2"/>
  <c r="I61" i="2"/>
  <c r="J61" i="2"/>
  <c r="K61" i="2"/>
  <c r="L61" i="2"/>
  <c r="M61" i="2"/>
  <c r="O61" i="2"/>
  <c r="P61" i="2"/>
  <c r="Q61" i="2"/>
  <c r="R61" i="2"/>
  <c r="C62" i="2"/>
  <c r="D62" i="2"/>
  <c r="E62" i="2"/>
  <c r="F62" i="2"/>
  <c r="G62" i="2"/>
  <c r="H62" i="2"/>
  <c r="I62" i="2"/>
  <c r="J62" i="2"/>
  <c r="K62" i="2"/>
  <c r="L62" i="2"/>
  <c r="M62" i="2"/>
  <c r="O62" i="2"/>
  <c r="P62" i="2"/>
  <c r="Q62" i="2"/>
  <c r="R62" i="2"/>
  <c r="C63" i="2"/>
  <c r="D63" i="2"/>
  <c r="E63" i="2"/>
  <c r="F63" i="2"/>
  <c r="G63" i="2"/>
  <c r="H63" i="2"/>
  <c r="I63" i="2"/>
  <c r="J63" i="2"/>
  <c r="K63" i="2"/>
  <c r="L63" i="2"/>
  <c r="M63" i="2"/>
  <c r="O63" i="2"/>
  <c r="P63" i="2"/>
  <c r="Q63" i="2"/>
  <c r="R63" i="2"/>
  <c r="C64" i="2"/>
  <c r="D64" i="2"/>
  <c r="E64" i="2"/>
  <c r="F64" i="2"/>
  <c r="G64" i="2"/>
  <c r="H64" i="2"/>
  <c r="I64" i="2"/>
  <c r="J64" i="2"/>
  <c r="K64" i="2"/>
  <c r="L64" i="2"/>
  <c r="M64" i="2"/>
  <c r="O64" i="2"/>
  <c r="P64" i="2"/>
  <c r="Q64" i="2"/>
  <c r="R64" i="2"/>
  <c r="C65" i="2"/>
  <c r="D65" i="2"/>
  <c r="E65" i="2"/>
  <c r="F65" i="2"/>
  <c r="G65" i="2"/>
  <c r="H65" i="2"/>
  <c r="I65" i="2"/>
  <c r="J65" i="2"/>
  <c r="K65" i="2"/>
  <c r="L65" i="2"/>
  <c r="M65" i="2"/>
  <c r="O65" i="2"/>
  <c r="P65" i="2"/>
  <c r="Q65" i="2"/>
  <c r="R65" i="2"/>
  <c r="C66" i="2"/>
  <c r="D66" i="2"/>
  <c r="E66" i="2"/>
  <c r="F66" i="2"/>
  <c r="G66" i="2"/>
  <c r="H66" i="2"/>
  <c r="I66" i="2"/>
  <c r="J66" i="2"/>
  <c r="K66" i="2"/>
  <c r="L66" i="2"/>
  <c r="M66" i="2"/>
  <c r="O66" i="2"/>
  <c r="P66" i="2"/>
  <c r="Q66" i="2"/>
  <c r="R66" i="2"/>
  <c r="C67" i="2"/>
  <c r="D67" i="2"/>
  <c r="E67" i="2"/>
  <c r="F67" i="2"/>
  <c r="G67" i="2"/>
  <c r="H67" i="2"/>
  <c r="I67" i="2"/>
  <c r="J67" i="2"/>
  <c r="K67" i="2"/>
  <c r="L67" i="2"/>
  <c r="M67" i="2"/>
  <c r="O67" i="2"/>
  <c r="P67" i="2"/>
  <c r="Q67" i="2"/>
  <c r="R67" i="2"/>
  <c r="C68" i="2"/>
  <c r="D68" i="2"/>
  <c r="E68" i="2"/>
  <c r="F68" i="2"/>
  <c r="G68" i="2"/>
  <c r="H68" i="2"/>
  <c r="I68" i="2"/>
  <c r="J68" i="2"/>
  <c r="K68" i="2"/>
  <c r="L68" i="2"/>
  <c r="M68" i="2"/>
  <c r="O68" i="2"/>
  <c r="P68" i="2"/>
  <c r="Q68" i="2"/>
  <c r="R68" i="2"/>
  <c r="C69" i="2"/>
  <c r="D69" i="2"/>
  <c r="E69" i="2"/>
  <c r="F69" i="2"/>
  <c r="G69" i="2"/>
  <c r="H69" i="2"/>
  <c r="I69" i="2"/>
  <c r="J69" i="2"/>
  <c r="K69" i="2"/>
  <c r="L69" i="2"/>
  <c r="M69" i="2"/>
  <c r="O69" i="2"/>
  <c r="P69" i="2"/>
  <c r="Q69" i="2"/>
  <c r="R69" i="2"/>
  <c r="C70" i="2"/>
  <c r="D70" i="2"/>
  <c r="E70" i="2"/>
  <c r="F70" i="2"/>
  <c r="G70" i="2"/>
  <c r="H70" i="2"/>
  <c r="I70" i="2"/>
  <c r="J70" i="2"/>
  <c r="K70" i="2"/>
  <c r="L70" i="2"/>
  <c r="M70" i="2"/>
  <c r="O70" i="2"/>
  <c r="P70" i="2"/>
  <c r="Q70" i="2"/>
  <c r="R70" i="2"/>
  <c r="C71" i="2"/>
  <c r="D71" i="2"/>
  <c r="E71" i="2"/>
  <c r="F71" i="2"/>
  <c r="G71" i="2"/>
  <c r="H71" i="2"/>
  <c r="I71" i="2"/>
  <c r="J71" i="2"/>
  <c r="K71" i="2"/>
  <c r="L71" i="2"/>
  <c r="M71" i="2"/>
  <c r="O71" i="2"/>
  <c r="P71" i="2"/>
  <c r="Q71" i="2"/>
  <c r="R71" i="2"/>
  <c r="C72" i="2"/>
  <c r="D72" i="2"/>
  <c r="E72" i="2"/>
  <c r="F72" i="2"/>
  <c r="G72" i="2"/>
  <c r="H72" i="2"/>
  <c r="I72" i="2"/>
  <c r="J72" i="2"/>
  <c r="K72" i="2"/>
  <c r="L72" i="2"/>
  <c r="M72" i="2"/>
  <c r="O72" i="2"/>
  <c r="P72" i="2"/>
  <c r="Q72" i="2"/>
  <c r="R72" i="2"/>
  <c r="C73" i="2"/>
  <c r="D73" i="2"/>
  <c r="E73" i="2"/>
  <c r="F73" i="2"/>
  <c r="G73" i="2"/>
  <c r="H73" i="2"/>
  <c r="I73" i="2"/>
  <c r="J73" i="2"/>
  <c r="K73" i="2"/>
  <c r="L73" i="2"/>
  <c r="M73" i="2"/>
  <c r="O73" i="2"/>
  <c r="P73" i="2"/>
  <c r="Q73" i="2"/>
  <c r="R73" i="2"/>
  <c r="C74" i="2"/>
  <c r="D74" i="2"/>
  <c r="E74" i="2"/>
  <c r="F74" i="2"/>
  <c r="G74" i="2"/>
  <c r="H74" i="2"/>
  <c r="I74" i="2"/>
  <c r="J74" i="2"/>
  <c r="K74" i="2"/>
  <c r="L74" i="2"/>
  <c r="M74" i="2"/>
  <c r="O74" i="2"/>
  <c r="P74" i="2"/>
  <c r="Q74" i="2"/>
  <c r="R74" i="2"/>
  <c r="C75" i="2"/>
  <c r="D75" i="2"/>
  <c r="E75" i="2"/>
  <c r="F75" i="2"/>
  <c r="G75" i="2"/>
  <c r="H75" i="2"/>
  <c r="I75" i="2"/>
  <c r="J75" i="2"/>
  <c r="K75" i="2"/>
  <c r="L75" i="2"/>
  <c r="M75" i="2"/>
  <c r="O75" i="2"/>
  <c r="P75" i="2"/>
  <c r="Q75" i="2"/>
  <c r="R75" i="2"/>
  <c r="C76" i="2"/>
  <c r="D76" i="2"/>
  <c r="E76" i="2"/>
  <c r="F76" i="2"/>
  <c r="G76" i="2"/>
  <c r="H76" i="2"/>
  <c r="I76" i="2"/>
  <c r="J76" i="2"/>
  <c r="K76" i="2"/>
  <c r="L76" i="2"/>
  <c r="M76" i="2"/>
  <c r="O76" i="2"/>
  <c r="P76" i="2"/>
  <c r="Q76" i="2"/>
  <c r="R76" i="2"/>
  <c r="C77" i="2"/>
  <c r="D77" i="2"/>
  <c r="E77" i="2"/>
  <c r="F77" i="2"/>
  <c r="G77" i="2"/>
  <c r="H77" i="2"/>
  <c r="I77" i="2"/>
  <c r="J77" i="2"/>
  <c r="K77" i="2"/>
  <c r="L77" i="2"/>
  <c r="M77" i="2"/>
  <c r="O77" i="2"/>
  <c r="P77" i="2"/>
  <c r="Q77" i="2"/>
  <c r="R77" i="2"/>
  <c r="C78" i="2"/>
  <c r="D78" i="2"/>
  <c r="E78" i="2"/>
  <c r="F78" i="2"/>
  <c r="G78" i="2"/>
  <c r="H78" i="2"/>
  <c r="I78" i="2"/>
  <c r="J78" i="2"/>
  <c r="K78" i="2"/>
  <c r="L78" i="2"/>
  <c r="M78" i="2"/>
  <c r="O78" i="2"/>
  <c r="P78" i="2"/>
  <c r="Q78" i="2"/>
  <c r="R78" i="2"/>
  <c r="C79" i="2"/>
  <c r="D79" i="2"/>
  <c r="E79" i="2"/>
  <c r="F79" i="2"/>
  <c r="G79" i="2"/>
  <c r="H79" i="2"/>
  <c r="I79" i="2"/>
  <c r="J79" i="2"/>
  <c r="K79" i="2"/>
  <c r="L79" i="2"/>
  <c r="M79" i="2"/>
  <c r="O79" i="2"/>
  <c r="P79" i="2"/>
  <c r="Q79" i="2"/>
  <c r="R79" i="2"/>
  <c r="C80" i="2"/>
  <c r="D80" i="2"/>
  <c r="E80" i="2"/>
  <c r="F80" i="2"/>
  <c r="G80" i="2"/>
  <c r="H80" i="2"/>
  <c r="I80" i="2"/>
  <c r="J80" i="2"/>
  <c r="K80" i="2"/>
  <c r="L80" i="2"/>
  <c r="M80" i="2"/>
  <c r="O80" i="2"/>
  <c r="P80" i="2"/>
  <c r="Q80" i="2"/>
  <c r="R80" i="2"/>
  <c r="C81" i="2"/>
  <c r="D81" i="2"/>
  <c r="E81" i="2"/>
  <c r="G81" i="2"/>
  <c r="H81" i="2"/>
  <c r="I81" i="2"/>
  <c r="J81" i="2"/>
  <c r="K81" i="2"/>
  <c r="L81" i="2"/>
  <c r="M81" i="2"/>
  <c r="O81" i="2"/>
  <c r="P81" i="2"/>
  <c r="Q81" i="2"/>
  <c r="R81" i="2"/>
  <c r="C82" i="2"/>
  <c r="D82" i="2"/>
  <c r="E82" i="2"/>
  <c r="F82" i="2"/>
  <c r="G82" i="2"/>
  <c r="H82" i="2"/>
  <c r="I82" i="2"/>
  <c r="J82" i="2"/>
  <c r="K82" i="2"/>
  <c r="L82" i="2"/>
  <c r="M82" i="2"/>
  <c r="O82" i="2"/>
  <c r="P82" i="2"/>
  <c r="Q82" i="2"/>
  <c r="R82" i="2"/>
  <c r="C83" i="2"/>
  <c r="D83" i="2"/>
  <c r="E83" i="2"/>
  <c r="F83" i="2"/>
  <c r="G83" i="2"/>
  <c r="H83" i="2"/>
  <c r="I83" i="2"/>
  <c r="J83" i="2"/>
  <c r="K83" i="2"/>
  <c r="L83" i="2"/>
  <c r="M83" i="2"/>
  <c r="O83" i="2"/>
  <c r="P83" i="2"/>
  <c r="Q83" i="2"/>
  <c r="R83" i="2"/>
  <c r="C84" i="2"/>
  <c r="D84" i="2"/>
  <c r="E84" i="2"/>
  <c r="F84" i="2"/>
  <c r="G84" i="2"/>
  <c r="H84" i="2"/>
  <c r="I84" i="2"/>
  <c r="J84" i="2"/>
  <c r="K84" i="2"/>
  <c r="L84" i="2"/>
  <c r="M84" i="2"/>
  <c r="O84" i="2"/>
  <c r="P84" i="2"/>
  <c r="Q84" i="2"/>
  <c r="R84" i="2"/>
  <c r="C85" i="2"/>
  <c r="D85" i="2"/>
  <c r="E85" i="2"/>
  <c r="F85" i="2"/>
  <c r="G85" i="2"/>
  <c r="H85" i="2"/>
  <c r="I85" i="2"/>
  <c r="J85" i="2"/>
  <c r="K85" i="2"/>
  <c r="L85" i="2"/>
  <c r="M85" i="2"/>
  <c r="O85" i="2"/>
  <c r="P85" i="2"/>
  <c r="Q85" i="2"/>
  <c r="R85" i="2"/>
  <c r="C86" i="2"/>
  <c r="D86" i="2"/>
  <c r="E86" i="2"/>
  <c r="F86" i="2"/>
  <c r="G86" i="2"/>
  <c r="H86" i="2"/>
  <c r="I86" i="2"/>
  <c r="J86" i="2"/>
  <c r="K86" i="2"/>
  <c r="L86" i="2"/>
  <c r="M86" i="2"/>
  <c r="O86" i="2"/>
  <c r="P86" i="2"/>
  <c r="Q86" i="2"/>
  <c r="R86" i="2"/>
  <c r="C87" i="2"/>
  <c r="D87" i="2"/>
  <c r="E87" i="2"/>
  <c r="F87" i="2"/>
  <c r="G87" i="2"/>
  <c r="H87" i="2"/>
  <c r="I87" i="2"/>
  <c r="J87" i="2"/>
  <c r="K87" i="2"/>
  <c r="L87" i="2"/>
  <c r="M87" i="2"/>
  <c r="O87" i="2"/>
  <c r="P87" i="2"/>
  <c r="Q87" i="2"/>
  <c r="R87" i="2"/>
  <c r="C88" i="2"/>
  <c r="D88" i="2"/>
  <c r="E88" i="2"/>
  <c r="F88" i="2"/>
  <c r="G88" i="2"/>
  <c r="H88" i="2"/>
  <c r="I88" i="2"/>
  <c r="J88" i="2"/>
  <c r="K88" i="2"/>
  <c r="L88" i="2"/>
  <c r="M88" i="2"/>
  <c r="O88" i="2"/>
  <c r="P88" i="2"/>
  <c r="Q88" i="2"/>
  <c r="R88" i="2"/>
  <c r="C89" i="2"/>
  <c r="D89" i="2"/>
  <c r="E89" i="2"/>
  <c r="F89" i="2"/>
  <c r="G89" i="2"/>
  <c r="H89" i="2"/>
  <c r="I89" i="2"/>
  <c r="J89" i="2"/>
  <c r="K89" i="2"/>
  <c r="L89" i="2"/>
  <c r="M89" i="2"/>
  <c r="O89" i="2"/>
  <c r="P89" i="2"/>
  <c r="Q89" i="2"/>
  <c r="R89" i="2"/>
  <c r="C90" i="2"/>
  <c r="D90" i="2"/>
  <c r="E90" i="2"/>
  <c r="F90" i="2"/>
  <c r="G90" i="2"/>
  <c r="H90" i="2"/>
  <c r="I90" i="2"/>
  <c r="J90" i="2"/>
  <c r="K90" i="2"/>
  <c r="L90" i="2"/>
  <c r="M90" i="2"/>
  <c r="O90" i="2"/>
  <c r="P90" i="2"/>
  <c r="Q90" i="2"/>
  <c r="R90" i="2"/>
  <c r="C91" i="2"/>
  <c r="D91" i="2"/>
  <c r="E91" i="2"/>
  <c r="F91" i="2"/>
  <c r="G91" i="2"/>
  <c r="H91" i="2"/>
  <c r="I91" i="2"/>
  <c r="J91" i="2"/>
  <c r="K91" i="2"/>
  <c r="L91" i="2"/>
  <c r="M91" i="2"/>
  <c r="O91" i="2"/>
  <c r="P91" i="2"/>
  <c r="Q91" i="2"/>
  <c r="R91" i="2"/>
  <c r="C92" i="2"/>
  <c r="D92" i="2"/>
  <c r="E92" i="2"/>
  <c r="F92" i="2"/>
  <c r="G92" i="2"/>
  <c r="H92" i="2"/>
  <c r="I92" i="2"/>
  <c r="J92" i="2"/>
  <c r="K92" i="2"/>
  <c r="L92" i="2"/>
  <c r="M92" i="2"/>
  <c r="O92" i="2"/>
  <c r="P92" i="2"/>
  <c r="Q92" i="2"/>
  <c r="R92" i="2"/>
  <c r="C93" i="2"/>
  <c r="D93" i="2"/>
  <c r="E93" i="2"/>
  <c r="F93" i="2"/>
  <c r="G93" i="2"/>
  <c r="H93" i="2"/>
  <c r="I93" i="2"/>
  <c r="J93" i="2"/>
  <c r="K93" i="2"/>
  <c r="L93" i="2"/>
  <c r="M93" i="2"/>
  <c r="O93" i="2"/>
  <c r="P93" i="2"/>
  <c r="Q93" i="2"/>
  <c r="R93" i="2"/>
  <c r="C94" i="2"/>
  <c r="D94" i="2"/>
  <c r="E94" i="2"/>
  <c r="F94" i="2"/>
  <c r="G94" i="2"/>
  <c r="H94" i="2"/>
  <c r="I94" i="2"/>
  <c r="J94" i="2"/>
  <c r="K94" i="2"/>
  <c r="L94" i="2"/>
  <c r="M94" i="2"/>
  <c r="O94" i="2"/>
  <c r="P94" i="2"/>
  <c r="Q94" i="2"/>
  <c r="R94" i="2"/>
  <c r="C95" i="2"/>
  <c r="D95" i="2"/>
  <c r="E95" i="2"/>
  <c r="F95" i="2"/>
  <c r="G95" i="2"/>
  <c r="H95" i="2"/>
  <c r="I95" i="2"/>
  <c r="J95" i="2"/>
  <c r="K95" i="2"/>
  <c r="L95" i="2"/>
  <c r="M95" i="2"/>
  <c r="O95" i="2"/>
  <c r="P95" i="2"/>
  <c r="Q95" i="2"/>
  <c r="R95" i="2"/>
  <c r="C96" i="2"/>
  <c r="D96" i="2"/>
  <c r="E96" i="2"/>
  <c r="F96" i="2"/>
  <c r="G96" i="2"/>
  <c r="H96" i="2"/>
  <c r="I96" i="2"/>
  <c r="J96" i="2"/>
  <c r="K96" i="2"/>
  <c r="L96" i="2"/>
  <c r="M96" i="2"/>
  <c r="O96" i="2"/>
  <c r="P96" i="2"/>
  <c r="Q96" i="2"/>
  <c r="R96" i="2"/>
  <c r="C97" i="2"/>
  <c r="D97" i="2"/>
  <c r="E97" i="2"/>
  <c r="F97" i="2"/>
  <c r="G97" i="2"/>
  <c r="H97" i="2"/>
  <c r="I97" i="2"/>
  <c r="J97" i="2"/>
  <c r="K97" i="2"/>
  <c r="L97" i="2"/>
  <c r="M97" i="2"/>
  <c r="O97" i="2"/>
  <c r="P97" i="2"/>
  <c r="Q97" i="2"/>
  <c r="R97" i="2"/>
  <c r="C98" i="2"/>
  <c r="D98" i="2"/>
  <c r="E98" i="2"/>
  <c r="F98" i="2"/>
  <c r="G98" i="2"/>
  <c r="H98" i="2"/>
  <c r="I98" i="2"/>
  <c r="J98" i="2"/>
  <c r="K98" i="2"/>
  <c r="L98" i="2"/>
  <c r="M98" i="2"/>
  <c r="O98" i="2"/>
  <c r="P98" i="2"/>
  <c r="Q98" i="2"/>
  <c r="R98" i="2"/>
  <c r="C99" i="2"/>
  <c r="D99" i="2"/>
  <c r="E99" i="2"/>
  <c r="F99" i="2"/>
  <c r="G99" i="2"/>
  <c r="H99" i="2"/>
  <c r="I99" i="2"/>
  <c r="J99" i="2"/>
  <c r="K99" i="2"/>
  <c r="L99" i="2"/>
  <c r="M99" i="2"/>
  <c r="O99" i="2"/>
  <c r="P99" i="2"/>
  <c r="Q99" i="2"/>
  <c r="R99" i="2"/>
  <c r="C100" i="2"/>
  <c r="D100" i="2"/>
  <c r="E100" i="2"/>
  <c r="F100" i="2"/>
  <c r="G100" i="2"/>
  <c r="H100" i="2"/>
  <c r="I100" i="2"/>
  <c r="J100" i="2"/>
  <c r="K100" i="2"/>
  <c r="L100" i="2"/>
  <c r="M100" i="2"/>
  <c r="O100" i="2"/>
  <c r="P100" i="2"/>
  <c r="Q100" i="2"/>
  <c r="R100" i="2"/>
  <c r="C101" i="2"/>
  <c r="D101" i="2"/>
  <c r="E101" i="2"/>
  <c r="F101" i="2"/>
  <c r="G101" i="2"/>
  <c r="H101" i="2"/>
  <c r="I101" i="2"/>
  <c r="J101" i="2"/>
  <c r="K101" i="2"/>
  <c r="L101" i="2"/>
  <c r="M101" i="2"/>
  <c r="O101" i="2"/>
  <c r="P101" i="2"/>
  <c r="Q101" i="2"/>
  <c r="R101" i="2"/>
  <c r="C102" i="2"/>
  <c r="D102" i="2"/>
  <c r="E102" i="2"/>
  <c r="F102" i="2"/>
  <c r="G102" i="2"/>
  <c r="H102" i="2"/>
  <c r="I102" i="2"/>
  <c r="J102" i="2"/>
  <c r="K102" i="2"/>
  <c r="L102" i="2"/>
  <c r="M102" i="2"/>
  <c r="O102" i="2"/>
  <c r="P102" i="2"/>
  <c r="Q102" i="2"/>
  <c r="R102" i="2"/>
  <c r="C103" i="2"/>
  <c r="D103" i="2"/>
  <c r="E103" i="2"/>
  <c r="F103" i="2"/>
  <c r="G103" i="2"/>
  <c r="H103" i="2"/>
  <c r="I103" i="2"/>
  <c r="J103" i="2"/>
  <c r="K103" i="2"/>
  <c r="L103" i="2"/>
  <c r="M103" i="2"/>
  <c r="O103" i="2"/>
  <c r="P103" i="2"/>
  <c r="Q103" i="2"/>
  <c r="R103" i="2"/>
  <c r="C104" i="2"/>
  <c r="D104" i="2"/>
  <c r="E104" i="2"/>
  <c r="F104" i="2"/>
  <c r="G104" i="2"/>
  <c r="H104" i="2"/>
  <c r="I104" i="2"/>
  <c r="J104" i="2"/>
  <c r="K104" i="2"/>
  <c r="L104" i="2"/>
  <c r="M104" i="2"/>
  <c r="O104" i="2"/>
  <c r="P104" i="2"/>
  <c r="Q104" i="2"/>
  <c r="R104" i="2"/>
  <c r="C105" i="2"/>
  <c r="D105" i="2"/>
  <c r="E105" i="2"/>
  <c r="F105" i="2"/>
  <c r="G105" i="2"/>
  <c r="H105" i="2"/>
  <c r="I105" i="2"/>
  <c r="J105" i="2"/>
  <c r="K105" i="2"/>
  <c r="L105" i="2"/>
  <c r="M105" i="2"/>
  <c r="O105" i="2"/>
  <c r="P105" i="2"/>
  <c r="Q105" i="2"/>
  <c r="R105" i="2"/>
  <c r="C106" i="2"/>
  <c r="D106" i="2"/>
  <c r="E106" i="2"/>
  <c r="F106" i="2"/>
  <c r="G106" i="2"/>
  <c r="H106" i="2"/>
  <c r="I106" i="2"/>
  <c r="J106" i="2"/>
  <c r="K106" i="2"/>
  <c r="L106" i="2"/>
  <c r="M106" i="2"/>
  <c r="O106" i="2"/>
  <c r="P106" i="2"/>
  <c r="Q106" i="2"/>
  <c r="R106" i="2"/>
  <c r="C107" i="2"/>
  <c r="D107" i="2"/>
  <c r="E107" i="2"/>
  <c r="F107" i="2"/>
  <c r="G107" i="2"/>
  <c r="H107" i="2"/>
  <c r="I107" i="2"/>
  <c r="J107" i="2"/>
  <c r="K107" i="2"/>
  <c r="L107" i="2"/>
  <c r="M107" i="2"/>
  <c r="O107" i="2"/>
  <c r="P107" i="2"/>
  <c r="Q107" i="2"/>
  <c r="R107" i="2"/>
  <c r="C108" i="2"/>
  <c r="D108" i="2"/>
  <c r="E108" i="2"/>
  <c r="F108" i="2"/>
  <c r="G108" i="2"/>
  <c r="H108" i="2"/>
  <c r="I108" i="2"/>
  <c r="J108" i="2"/>
  <c r="K108" i="2"/>
  <c r="L108" i="2"/>
  <c r="M108" i="2"/>
  <c r="O108" i="2"/>
  <c r="P108" i="2"/>
  <c r="Q108" i="2"/>
  <c r="R108" i="2"/>
  <c r="C109" i="2"/>
  <c r="D109" i="2"/>
  <c r="E109" i="2"/>
  <c r="F109" i="2"/>
  <c r="G109" i="2"/>
  <c r="H109" i="2"/>
  <c r="I109" i="2"/>
  <c r="J109" i="2"/>
  <c r="K109" i="2"/>
  <c r="L109" i="2"/>
  <c r="M109" i="2"/>
  <c r="O109" i="2"/>
  <c r="P109" i="2"/>
  <c r="Q109" i="2"/>
  <c r="R109" i="2"/>
  <c r="C110" i="2"/>
  <c r="D110" i="2"/>
  <c r="E110" i="2"/>
  <c r="H110" i="2"/>
  <c r="I110" i="2"/>
  <c r="J110" i="2"/>
  <c r="K110" i="2"/>
  <c r="L110" i="2"/>
  <c r="M110" i="2"/>
  <c r="O110" i="2"/>
  <c r="P110" i="2"/>
  <c r="Q110" i="2"/>
  <c r="R110" i="2"/>
  <c r="C111" i="2"/>
  <c r="D111" i="2"/>
  <c r="E111" i="2"/>
  <c r="F111" i="2"/>
  <c r="G111" i="2"/>
  <c r="H111" i="2"/>
  <c r="I111" i="2"/>
  <c r="J111" i="2"/>
  <c r="K111" i="2"/>
  <c r="L111" i="2"/>
  <c r="M111" i="2"/>
  <c r="O111" i="2"/>
  <c r="P111" i="2"/>
  <c r="Q111" i="2"/>
  <c r="R111" i="2"/>
  <c r="C112" i="2"/>
  <c r="D112" i="2"/>
  <c r="E112" i="2"/>
  <c r="F112" i="2"/>
  <c r="G112" i="2"/>
  <c r="H112" i="2"/>
  <c r="I112" i="2"/>
  <c r="J112" i="2"/>
  <c r="K112" i="2"/>
  <c r="L112" i="2"/>
  <c r="M112" i="2"/>
  <c r="O112" i="2"/>
  <c r="P112" i="2"/>
  <c r="Q112" i="2"/>
  <c r="R112" i="2"/>
  <c r="C113" i="2"/>
  <c r="D113" i="2"/>
  <c r="E113" i="2"/>
  <c r="F113" i="2"/>
  <c r="G113" i="2"/>
  <c r="H113" i="2"/>
  <c r="I113" i="2"/>
  <c r="J113" i="2"/>
  <c r="K113" i="2"/>
  <c r="L113" i="2"/>
  <c r="M113" i="2"/>
  <c r="O113" i="2"/>
  <c r="P113" i="2"/>
  <c r="Q113" i="2"/>
  <c r="R113" i="2"/>
  <c r="C114" i="2"/>
  <c r="D114" i="2"/>
  <c r="E114" i="2"/>
  <c r="F114" i="2"/>
  <c r="G114" i="2"/>
  <c r="H114" i="2"/>
  <c r="I114" i="2"/>
  <c r="J114" i="2"/>
  <c r="K114" i="2"/>
  <c r="L114" i="2"/>
  <c r="M114" i="2"/>
  <c r="O114" i="2"/>
  <c r="P114" i="2"/>
  <c r="Q114" i="2"/>
  <c r="R114" i="2"/>
  <c r="C115" i="2"/>
  <c r="D115" i="2"/>
  <c r="E115" i="2"/>
  <c r="F115" i="2"/>
  <c r="G115" i="2"/>
  <c r="H115" i="2"/>
  <c r="I115" i="2"/>
  <c r="J115" i="2"/>
  <c r="K115" i="2"/>
  <c r="L115" i="2"/>
  <c r="M115" i="2"/>
  <c r="O115" i="2"/>
  <c r="P115" i="2"/>
  <c r="Q115" i="2"/>
  <c r="R115" i="2"/>
  <c r="C116" i="2"/>
  <c r="D116" i="2"/>
  <c r="E116" i="2"/>
  <c r="F116" i="2"/>
  <c r="G116" i="2"/>
  <c r="H116" i="2"/>
  <c r="I116" i="2"/>
  <c r="J116" i="2"/>
  <c r="K116" i="2"/>
  <c r="L116" i="2"/>
  <c r="M116" i="2"/>
  <c r="O116" i="2"/>
  <c r="P116" i="2"/>
  <c r="Q116" i="2"/>
  <c r="R116" i="2"/>
  <c r="C117" i="2"/>
  <c r="D117" i="2"/>
  <c r="E117" i="2"/>
  <c r="F117" i="2"/>
  <c r="G117" i="2"/>
  <c r="H117" i="2"/>
  <c r="I117" i="2"/>
  <c r="J117" i="2"/>
  <c r="K117" i="2"/>
  <c r="L117" i="2"/>
  <c r="M117" i="2"/>
  <c r="O117" i="2"/>
  <c r="P117" i="2"/>
  <c r="Q117" i="2"/>
  <c r="R117" i="2"/>
  <c r="C118" i="2"/>
  <c r="D118" i="2"/>
  <c r="E118" i="2"/>
  <c r="F118" i="2"/>
  <c r="G118" i="2"/>
  <c r="H118" i="2"/>
  <c r="I118" i="2"/>
  <c r="J118" i="2"/>
  <c r="K118" i="2"/>
  <c r="L118" i="2"/>
  <c r="M118" i="2"/>
  <c r="O118" i="2"/>
  <c r="P118" i="2"/>
  <c r="Q118" i="2"/>
  <c r="R118" i="2"/>
  <c r="C119" i="2"/>
  <c r="D119" i="2"/>
  <c r="E119" i="2"/>
  <c r="F119" i="2"/>
  <c r="G119" i="2"/>
  <c r="H119" i="2"/>
  <c r="I119" i="2"/>
  <c r="J119" i="2"/>
  <c r="K119" i="2"/>
  <c r="L119" i="2"/>
  <c r="M119" i="2"/>
  <c r="O119" i="2"/>
  <c r="P119" i="2"/>
  <c r="Q119" i="2"/>
  <c r="R119" i="2"/>
  <c r="C120" i="2"/>
  <c r="D120" i="2"/>
  <c r="E120" i="2"/>
  <c r="F120" i="2"/>
  <c r="G120" i="2"/>
  <c r="H120" i="2"/>
  <c r="I120" i="2"/>
  <c r="J120" i="2"/>
  <c r="K120" i="2"/>
  <c r="L120" i="2"/>
  <c r="M120" i="2"/>
  <c r="O120" i="2"/>
  <c r="P120" i="2"/>
  <c r="Q120" i="2"/>
  <c r="R120" i="2"/>
  <c r="C121" i="2"/>
  <c r="D121" i="2"/>
  <c r="E121" i="2"/>
  <c r="F121" i="2"/>
  <c r="G121" i="2"/>
  <c r="H121" i="2"/>
  <c r="I121" i="2"/>
  <c r="J121" i="2"/>
  <c r="K121" i="2"/>
  <c r="L121" i="2"/>
  <c r="M121" i="2"/>
  <c r="O121" i="2"/>
  <c r="P121" i="2"/>
  <c r="Q121" i="2"/>
  <c r="R121" i="2"/>
  <c r="C122" i="2"/>
  <c r="D122" i="2"/>
  <c r="E122" i="2"/>
  <c r="F122" i="2"/>
  <c r="G122" i="2"/>
  <c r="H122" i="2"/>
  <c r="I122" i="2"/>
  <c r="J122" i="2"/>
  <c r="K122" i="2"/>
  <c r="L122" i="2"/>
  <c r="M122" i="2"/>
  <c r="O122" i="2"/>
  <c r="P122" i="2"/>
  <c r="Q122" i="2"/>
  <c r="R122" i="2"/>
  <c r="C123" i="2"/>
  <c r="D123" i="2"/>
  <c r="E123" i="2"/>
  <c r="F123" i="2"/>
  <c r="G123" i="2"/>
  <c r="H123" i="2"/>
  <c r="I123" i="2"/>
  <c r="J123" i="2"/>
  <c r="K123" i="2"/>
  <c r="L123" i="2"/>
  <c r="M123" i="2"/>
  <c r="O123" i="2"/>
  <c r="P123" i="2"/>
  <c r="Q123" i="2"/>
  <c r="R123" i="2"/>
  <c r="C124" i="2"/>
  <c r="D124" i="2"/>
  <c r="E124" i="2"/>
  <c r="F124" i="2"/>
  <c r="G124" i="2"/>
  <c r="H124" i="2"/>
  <c r="I124" i="2"/>
  <c r="J124" i="2"/>
  <c r="K124" i="2"/>
  <c r="L124" i="2"/>
  <c r="M124" i="2"/>
  <c r="O124" i="2"/>
  <c r="P124" i="2"/>
  <c r="Q124" i="2"/>
  <c r="R124" i="2"/>
  <c r="C125" i="2"/>
  <c r="D125" i="2"/>
  <c r="E125" i="2"/>
  <c r="F125" i="2"/>
  <c r="G125" i="2"/>
  <c r="H125" i="2"/>
  <c r="I125" i="2"/>
  <c r="J125" i="2"/>
  <c r="K125" i="2"/>
  <c r="L125" i="2"/>
  <c r="M125" i="2"/>
  <c r="O125" i="2"/>
  <c r="P125" i="2"/>
  <c r="Q125" i="2"/>
  <c r="R125" i="2"/>
  <c r="C126" i="2"/>
  <c r="D126" i="2"/>
  <c r="E126" i="2"/>
  <c r="F126" i="2"/>
  <c r="G126" i="2"/>
  <c r="H126" i="2"/>
  <c r="I126" i="2"/>
  <c r="J126" i="2"/>
  <c r="K126" i="2"/>
  <c r="L126" i="2"/>
  <c r="M126" i="2"/>
  <c r="O126" i="2"/>
  <c r="P126" i="2"/>
  <c r="Q126" i="2"/>
  <c r="R126" i="2"/>
  <c r="C127" i="2"/>
  <c r="D127" i="2"/>
  <c r="E127" i="2"/>
  <c r="F127" i="2"/>
  <c r="G127" i="2"/>
  <c r="H127" i="2"/>
  <c r="I127" i="2"/>
  <c r="J127" i="2"/>
  <c r="K127" i="2"/>
  <c r="L127" i="2"/>
  <c r="M127" i="2"/>
  <c r="O127" i="2"/>
  <c r="P127" i="2"/>
  <c r="Q127" i="2"/>
  <c r="R127" i="2"/>
  <c r="C128" i="2"/>
  <c r="D128" i="2"/>
  <c r="E128" i="2"/>
  <c r="G128" i="2"/>
  <c r="H128" i="2"/>
  <c r="I128" i="2"/>
  <c r="J128" i="2"/>
  <c r="K128" i="2"/>
  <c r="L128" i="2"/>
  <c r="M128" i="2"/>
  <c r="O128" i="2"/>
  <c r="P128" i="2"/>
  <c r="Q128" i="2"/>
  <c r="R128" i="2"/>
  <c r="C129" i="2"/>
  <c r="D129" i="2"/>
  <c r="E129" i="2"/>
  <c r="F129" i="2"/>
  <c r="G129" i="2"/>
  <c r="H129" i="2"/>
  <c r="I129" i="2"/>
  <c r="J129" i="2"/>
  <c r="K129" i="2"/>
  <c r="L129" i="2"/>
  <c r="M129" i="2"/>
  <c r="O129" i="2"/>
  <c r="P129" i="2"/>
  <c r="Q129" i="2"/>
  <c r="R129" i="2"/>
  <c r="C130" i="2"/>
  <c r="D130" i="2"/>
  <c r="E130" i="2"/>
  <c r="F130" i="2"/>
  <c r="G130" i="2"/>
  <c r="H130" i="2"/>
  <c r="I130" i="2"/>
  <c r="J130" i="2"/>
  <c r="K130" i="2"/>
  <c r="L130" i="2"/>
  <c r="M130" i="2"/>
  <c r="O130" i="2"/>
  <c r="P130" i="2"/>
  <c r="Q130" i="2"/>
  <c r="R130" i="2"/>
  <c r="C131" i="2"/>
  <c r="D131" i="2"/>
  <c r="E131" i="2"/>
  <c r="F131" i="2"/>
  <c r="G131" i="2"/>
  <c r="H131" i="2"/>
  <c r="I131" i="2"/>
  <c r="J131" i="2"/>
  <c r="K131" i="2"/>
  <c r="L131" i="2"/>
  <c r="M131" i="2"/>
  <c r="O131" i="2"/>
  <c r="P131" i="2"/>
  <c r="Q131" i="2"/>
  <c r="R131" i="2"/>
  <c r="C132" i="2"/>
  <c r="D132" i="2"/>
  <c r="E132" i="2"/>
  <c r="F132" i="2"/>
  <c r="G132" i="2"/>
  <c r="H132" i="2"/>
  <c r="I132" i="2"/>
  <c r="J132" i="2"/>
  <c r="K132" i="2"/>
  <c r="L132" i="2"/>
  <c r="M132" i="2"/>
  <c r="O132" i="2"/>
  <c r="P132" i="2"/>
  <c r="Q132" i="2"/>
  <c r="R132" i="2"/>
  <c r="C133" i="2"/>
  <c r="D133" i="2"/>
  <c r="E133" i="2"/>
  <c r="F133" i="2"/>
  <c r="G133" i="2"/>
  <c r="H133" i="2"/>
  <c r="I133" i="2"/>
  <c r="J133" i="2"/>
  <c r="K133" i="2"/>
  <c r="L133" i="2"/>
  <c r="M133" i="2"/>
  <c r="O133" i="2"/>
  <c r="P133" i="2"/>
  <c r="Q133" i="2"/>
  <c r="R133" i="2"/>
  <c r="C134" i="2"/>
  <c r="D134" i="2"/>
  <c r="E134" i="2"/>
  <c r="F134" i="2"/>
  <c r="G134" i="2"/>
  <c r="H134" i="2"/>
  <c r="I134" i="2"/>
  <c r="J134" i="2"/>
  <c r="K134" i="2"/>
  <c r="L134" i="2"/>
  <c r="M134" i="2"/>
  <c r="O134" i="2"/>
  <c r="P134" i="2"/>
  <c r="Q134" i="2"/>
  <c r="R134" i="2"/>
  <c r="C135" i="2"/>
  <c r="D135" i="2"/>
  <c r="E135" i="2"/>
  <c r="F135" i="2"/>
  <c r="G135" i="2"/>
  <c r="H135" i="2"/>
  <c r="I135" i="2"/>
  <c r="J135" i="2"/>
  <c r="K135" i="2"/>
  <c r="L135" i="2"/>
  <c r="M135" i="2"/>
  <c r="O135" i="2"/>
  <c r="P135" i="2"/>
  <c r="Q135" i="2"/>
  <c r="R135" i="2"/>
  <c r="C136" i="2"/>
  <c r="D136" i="2"/>
  <c r="E136" i="2"/>
  <c r="F136" i="2"/>
  <c r="G136" i="2"/>
  <c r="H136" i="2"/>
  <c r="I136" i="2"/>
  <c r="J136" i="2"/>
  <c r="K136" i="2"/>
  <c r="L136" i="2"/>
  <c r="M136" i="2"/>
  <c r="O136" i="2"/>
  <c r="P136" i="2"/>
  <c r="Q136" i="2"/>
  <c r="R136" i="2"/>
  <c r="C137" i="2"/>
  <c r="D137" i="2"/>
  <c r="E137" i="2"/>
  <c r="F137" i="2"/>
  <c r="G137" i="2"/>
  <c r="H137" i="2"/>
  <c r="I137" i="2"/>
  <c r="J137" i="2"/>
  <c r="K137" i="2"/>
  <c r="L137" i="2"/>
  <c r="M137" i="2"/>
  <c r="O137" i="2"/>
  <c r="P137" i="2"/>
  <c r="Q137" i="2"/>
  <c r="R137" i="2"/>
  <c r="C138" i="2"/>
  <c r="D138" i="2"/>
  <c r="E138" i="2"/>
  <c r="F138" i="2"/>
  <c r="G138" i="2"/>
  <c r="I138" i="2"/>
  <c r="J138" i="2"/>
  <c r="K138" i="2"/>
  <c r="L138" i="2"/>
  <c r="M138" i="2"/>
  <c r="O138" i="2"/>
  <c r="P138" i="2"/>
  <c r="Q138" i="2"/>
  <c r="R138" i="2"/>
  <c r="C139" i="2"/>
  <c r="D139" i="2"/>
  <c r="E139" i="2"/>
  <c r="F139" i="2"/>
  <c r="G139" i="2"/>
  <c r="H139" i="2"/>
  <c r="I139" i="2"/>
  <c r="J139" i="2"/>
  <c r="K139" i="2"/>
  <c r="L139" i="2"/>
  <c r="M139" i="2"/>
  <c r="O139" i="2"/>
  <c r="P139" i="2"/>
  <c r="Q139" i="2"/>
  <c r="R139" i="2"/>
  <c r="C140" i="2"/>
  <c r="D140" i="2"/>
  <c r="E140" i="2"/>
  <c r="F140" i="2"/>
  <c r="G140" i="2"/>
  <c r="H140" i="2"/>
  <c r="I140" i="2"/>
  <c r="J140" i="2"/>
  <c r="K140" i="2"/>
  <c r="L140" i="2"/>
  <c r="M140" i="2"/>
  <c r="O140" i="2"/>
  <c r="P140" i="2"/>
  <c r="Q140" i="2"/>
  <c r="R140" i="2"/>
  <c r="C141" i="2"/>
  <c r="D141" i="2"/>
  <c r="E141" i="2"/>
  <c r="F141" i="2"/>
  <c r="G141" i="2"/>
  <c r="H141" i="2"/>
  <c r="I141" i="2"/>
  <c r="J141" i="2"/>
  <c r="K141" i="2"/>
  <c r="L141" i="2"/>
  <c r="M141" i="2"/>
  <c r="O141" i="2"/>
  <c r="P141" i="2"/>
  <c r="Q141" i="2"/>
  <c r="R141" i="2"/>
  <c r="C142" i="2"/>
  <c r="D142" i="2"/>
  <c r="E142" i="2"/>
  <c r="F142" i="2"/>
  <c r="G142" i="2"/>
  <c r="H142" i="2"/>
  <c r="I142" i="2"/>
  <c r="J142" i="2"/>
  <c r="K142" i="2"/>
  <c r="L142" i="2"/>
  <c r="M142" i="2"/>
  <c r="O142" i="2"/>
  <c r="P142" i="2"/>
  <c r="Q142" i="2"/>
  <c r="R142" i="2"/>
  <c r="C143" i="2"/>
  <c r="D143" i="2"/>
  <c r="E143" i="2"/>
  <c r="F143" i="2"/>
  <c r="G143" i="2"/>
  <c r="H143" i="2"/>
  <c r="I143" i="2"/>
  <c r="J143" i="2"/>
  <c r="K143" i="2"/>
  <c r="L143" i="2"/>
  <c r="M143" i="2"/>
  <c r="O143" i="2"/>
  <c r="P143" i="2"/>
  <c r="Q143" i="2"/>
  <c r="R143" i="2"/>
  <c r="C144" i="2"/>
  <c r="D144" i="2"/>
  <c r="E144" i="2"/>
  <c r="F144" i="2"/>
  <c r="G144" i="2"/>
  <c r="H144" i="2"/>
  <c r="I144" i="2"/>
  <c r="J144" i="2"/>
  <c r="K144" i="2"/>
  <c r="L144" i="2"/>
  <c r="M144" i="2"/>
  <c r="O144" i="2"/>
  <c r="P144" i="2"/>
  <c r="Q144" i="2"/>
  <c r="R144" i="2"/>
  <c r="C145" i="2"/>
  <c r="D145" i="2"/>
  <c r="E145" i="2"/>
  <c r="F145" i="2"/>
  <c r="G145" i="2"/>
  <c r="H145" i="2"/>
  <c r="I145" i="2"/>
  <c r="J145" i="2"/>
  <c r="K145" i="2"/>
  <c r="L145" i="2"/>
  <c r="M145" i="2"/>
  <c r="O145" i="2"/>
  <c r="P145" i="2"/>
  <c r="Q145" i="2"/>
  <c r="R145" i="2"/>
  <c r="C146" i="2"/>
  <c r="D146" i="2"/>
  <c r="E146" i="2"/>
  <c r="F146" i="2"/>
  <c r="G146" i="2"/>
  <c r="H146" i="2"/>
  <c r="I146" i="2"/>
  <c r="J146" i="2"/>
  <c r="K146" i="2"/>
  <c r="L146" i="2"/>
  <c r="M146" i="2"/>
  <c r="O146" i="2"/>
  <c r="P146" i="2"/>
  <c r="Q146" i="2"/>
  <c r="R146" i="2"/>
  <c r="C147" i="2"/>
  <c r="D147" i="2"/>
  <c r="E147" i="2"/>
  <c r="F147" i="2"/>
  <c r="G147" i="2"/>
  <c r="H147" i="2"/>
  <c r="I147" i="2"/>
  <c r="J147" i="2"/>
  <c r="K147" i="2"/>
  <c r="L147" i="2"/>
  <c r="M147" i="2"/>
  <c r="O147" i="2"/>
  <c r="P147" i="2"/>
  <c r="Q147" i="2"/>
  <c r="R147" i="2"/>
  <c r="C148" i="2"/>
  <c r="D148" i="2"/>
  <c r="E148" i="2"/>
  <c r="F148" i="2"/>
  <c r="G148" i="2"/>
  <c r="H148" i="2"/>
  <c r="I148" i="2"/>
  <c r="J148" i="2"/>
  <c r="K148" i="2"/>
  <c r="L148" i="2"/>
  <c r="M148" i="2"/>
  <c r="O148" i="2"/>
  <c r="P148" i="2"/>
  <c r="Q148" i="2"/>
  <c r="R148" i="2"/>
  <c r="C149" i="2"/>
  <c r="D149" i="2"/>
  <c r="E149" i="2"/>
  <c r="F149" i="2"/>
  <c r="G149" i="2"/>
  <c r="H149" i="2"/>
  <c r="I149" i="2"/>
  <c r="J149" i="2"/>
  <c r="K149" i="2"/>
  <c r="L149" i="2"/>
  <c r="M149" i="2"/>
  <c r="O149" i="2"/>
  <c r="P149" i="2"/>
  <c r="Q149" i="2"/>
  <c r="R149" i="2"/>
  <c r="C150" i="2"/>
  <c r="D150" i="2"/>
  <c r="E150" i="2"/>
  <c r="F150" i="2"/>
  <c r="G150" i="2"/>
  <c r="H150" i="2"/>
  <c r="I150" i="2"/>
  <c r="J150" i="2"/>
  <c r="K150" i="2"/>
  <c r="L150" i="2"/>
  <c r="M150" i="2"/>
  <c r="O150" i="2"/>
  <c r="P150" i="2"/>
  <c r="Q150" i="2"/>
  <c r="R150" i="2"/>
  <c r="C151" i="2"/>
  <c r="D151" i="2"/>
  <c r="E151" i="2"/>
  <c r="F151" i="2"/>
  <c r="G151" i="2"/>
  <c r="H151" i="2"/>
  <c r="I151" i="2"/>
  <c r="J151" i="2"/>
  <c r="K151" i="2"/>
  <c r="L151" i="2"/>
  <c r="M151" i="2"/>
  <c r="O151" i="2"/>
  <c r="P151" i="2"/>
  <c r="Q151" i="2"/>
  <c r="R151" i="2"/>
  <c r="C152" i="2"/>
  <c r="D152" i="2"/>
  <c r="E152" i="2"/>
  <c r="F152" i="2"/>
  <c r="G152" i="2"/>
  <c r="H152" i="2"/>
  <c r="I152" i="2"/>
  <c r="J152" i="2"/>
  <c r="K152" i="2"/>
  <c r="L152" i="2"/>
  <c r="M152" i="2"/>
  <c r="O152" i="2"/>
  <c r="P152" i="2"/>
  <c r="Q152" i="2"/>
  <c r="R152" i="2"/>
  <c r="C153" i="2"/>
  <c r="D153" i="2"/>
  <c r="E153" i="2"/>
  <c r="F153" i="2"/>
  <c r="G153" i="2"/>
  <c r="H153" i="2"/>
  <c r="I153" i="2"/>
  <c r="J153" i="2"/>
  <c r="K153" i="2"/>
  <c r="L153" i="2"/>
  <c r="M153" i="2"/>
  <c r="O153" i="2"/>
  <c r="P153" i="2"/>
  <c r="Q153" i="2"/>
  <c r="R153" i="2"/>
  <c r="C154" i="2"/>
  <c r="D154" i="2"/>
  <c r="E154" i="2"/>
  <c r="F154" i="2"/>
  <c r="G154" i="2"/>
  <c r="H154" i="2"/>
  <c r="I154" i="2"/>
  <c r="J154" i="2"/>
  <c r="K154" i="2"/>
  <c r="L154" i="2"/>
  <c r="M154" i="2"/>
  <c r="O154" i="2"/>
  <c r="P154" i="2"/>
  <c r="Q154" i="2"/>
  <c r="R154" i="2"/>
  <c r="C155" i="2"/>
  <c r="D155" i="2"/>
  <c r="E155" i="2"/>
  <c r="F155" i="2"/>
  <c r="G155" i="2"/>
  <c r="H155" i="2"/>
  <c r="I155" i="2"/>
  <c r="J155" i="2"/>
  <c r="K155" i="2"/>
  <c r="L155" i="2"/>
  <c r="M155" i="2"/>
  <c r="O155" i="2"/>
  <c r="P155" i="2"/>
  <c r="Q155" i="2"/>
  <c r="R155" i="2"/>
  <c r="C156" i="2"/>
  <c r="D156" i="2"/>
  <c r="E156" i="2"/>
  <c r="F156" i="2"/>
  <c r="G156" i="2"/>
  <c r="H156" i="2"/>
  <c r="I156" i="2"/>
  <c r="J156" i="2"/>
  <c r="K156" i="2"/>
  <c r="L156" i="2"/>
  <c r="M156" i="2"/>
  <c r="O156" i="2"/>
  <c r="P156" i="2"/>
  <c r="Q156" i="2"/>
  <c r="R156" i="2"/>
  <c r="C157" i="2"/>
  <c r="D157" i="2"/>
  <c r="E157" i="2"/>
  <c r="F157" i="2"/>
  <c r="G157" i="2"/>
  <c r="H157" i="2"/>
  <c r="I157" i="2"/>
  <c r="J157" i="2"/>
  <c r="K157" i="2"/>
  <c r="L157" i="2"/>
  <c r="M157" i="2"/>
  <c r="O157" i="2"/>
  <c r="P157" i="2"/>
  <c r="Q157" i="2"/>
  <c r="R157" i="2"/>
  <c r="C158" i="2"/>
  <c r="D158" i="2"/>
  <c r="E158" i="2"/>
  <c r="F158" i="2"/>
  <c r="G158" i="2"/>
  <c r="H158" i="2"/>
  <c r="I158" i="2"/>
  <c r="J158" i="2"/>
  <c r="K158" i="2"/>
  <c r="L158" i="2"/>
  <c r="M158" i="2"/>
  <c r="O158" i="2"/>
  <c r="P158" i="2"/>
  <c r="Q158" i="2"/>
  <c r="R158" i="2"/>
  <c r="C159" i="2"/>
  <c r="D159" i="2"/>
  <c r="E159" i="2"/>
  <c r="F159" i="2"/>
  <c r="G159" i="2"/>
  <c r="H159" i="2"/>
  <c r="I159" i="2"/>
  <c r="J159" i="2"/>
  <c r="K159" i="2"/>
  <c r="L159" i="2"/>
  <c r="M159" i="2"/>
  <c r="O159" i="2"/>
  <c r="P159" i="2"/>
  <c r="Q159" i="2"/>
  <c r="R159" i="2"/>
  <c r="C160" i="2"/>
  <c r="D160" i="2"/>
  <c r="E160" i="2"/>
  <c r="F160" i="2"/>
  <c r="G160" i="2"/>
  <c r="H160" i="2"/>
  <c r="I160" i="2"/>
  <c r="J160" i="2"/>
  <c r="K160" i="2"/>
  <c r="L160" i="2"/>
  <c r="M160" i="2"/>
  <c r="O160" i="2"/>
  <c r="P160" i="2"/>
  <c r="Q160" i="2"/>
  <c r="R160" i="2"/>
  <c r="C161" i="2"/>
  <c r="D161" i="2"/>
  <c r="E161" i="2"/>
  <c r="F161" i="2"/>
  <c r="G161" i="2"/>
  <c r="H161" i="2"/>
  <c r="I161" i="2"/>
  <c r="J161" i="2"/>
  <c r="K161" i="2"/>
  <c r="L161" i="2"/>
  <c r="M161" i="2"/>
  <c r="O161" i="2"/>
  <c r="P161" i="2"/>
  <c r="Q161" i="2"/>
  <c r="R161" i="2"/>
  <c r="C162" i="2"/>
  <c r="D162" i="2"/>
  <c r="E162" i="2"/>
  <c r="F162" i="2"/>
  <c r="G162" i="2"/>
  <c r="H162" i="2"/>
  <c r="I162" i="2"/>
  <c r="J162" i="2"/>
  <c r="K162" i="2"/>
  <c r="L162" i="2"/>
  <c r="M162" i="2"/>
  <c r="O162" i="2"/>
  <c r="P162" i="2"/>
  <c r="Q162" i="2"/>
  <c r="R162" i="2"/>
  <c r="C163" i="2"/>
  <c r="D163" i="2"/>
  <c r="E163" i="2"/>
  <c r="F163" i="2"/>
  <c r="G163" i="2"/>
  <c r="H163" i="2"/>
  <c r="I163" i="2"/>
  <c r="J163" i="2"/>
  <c r="K163" i="2"/>
  <c r="L163" i="2"/>
  <c r="M163" i="2"/>
  <c r="O163" i="2"/>
  <c r="P163" i="2"/>
  <c r="Q163" i="2"/>
  <c r="R163" i="2"/>
  <c r="C164" i="2"/>
  <c r="D164" i="2"/>
  <c r="E164" i="2"/>
  <c r="F164" i="2"/>
  <c r="G164" i="2"/>
  <c r="H164" i="2"/>
  <c r="I164" i="2"/>
  <c r="J164" i="2"/>
  <c r="K164" i="2"/>
  <c r="L164" i="2"/>
  <c r="M164" i="2"/>
  <c r="O164" i="2"/>
  <c r="P164" i="2"/>
  <c r="Q164" i="2"/>
  <c r="R164" i="2"/>
  <c r="C165" i="2"/>
  <c r="D165" i="2"/>
  <c r="E165" i="2"/>
  <c r="F165" i="2"/>
  <c r="G165" i="2"/>
  <c r="H165" i="2"/>
  <c r="I165" i="2"/>
  <c r="J165" i="2"/>
  <c r="K165" i="2"/>
  <c r="L165" i="2"/>
  <c r="M165" i="2"/>
  <c r="O165" i="2"/>
  <c r="P165" i="2"/>
  <c r="Q165" i="2"/>
  <c r="R165" i="2"/>
  <c r="C166" i="2"/>
  <c r="D166" i="2"/>
  <c r="E166" i="2"/>
  <c r="G166" i="2"/>
  <c r="H166" i="2"/>
  <c r="I166" i="2"/>
  <c r="J166" i="2"/>
  <c r="K166" i="2"/>
  <c r="L166" i="2"/>
  <c r="M166" i="2"/>
  <c r="O166" i="2"/>
  <c r="P166" i="2"/>
  <c r="Q166" i="2"/>
  <c r="R166" i="2"/>
  <c r="C167" i="2"/>
  <c r="D167" i="2"/>
  <c r="E167" i="2"/>
  <c r="F167" i="2"/>
  <c r="G167" i="2"/>
  <c r="H167" i="2"/>
  <c r="I167" i="2"/>
  <c r="J167" i="2"/>
  <c r="K167" i="2"/>
  <c r="L167" i="2"/>
  <c r="M167" i="2"/>
  <c r="O167" i="2"/>
  <c r="P167" i="2"/>
  <c r="Q167" i="2"/>
  <c r="R167" i="2"/>
  <c r="C168" i="2"/>
  <c r="D168" i="2"/>
  <c r="E168" i="2"/>
  <c r="F168" i="2"/>
  <c r="G168" i="2"/>
  <c r="H168" i="2"/>
  <c r="I168" i="2"/>
  <c r="J168" i="2"/>
  <c r="K168" i="2"/>
  <c r="L168" i="2"/>
  <c r="M168" i="2"/>
  <c r="O168" i="2"/>
  <c r="P168" i="2"/>
  <c r="Q168" i="2"/>
  <c r="R168" i="2"/>
  <c r="C169" i="2"/>
  <c r="D169" i="2"/>
  <c r="E169" i="2"/>
  <c r="F169" i="2"/>
  <c r="G169" i="2"/>
  <c r="H169" i="2"/>
  <c r="I169" i="2"/>
  <c r="J169" i="2"/>
  <c r="K169" i="2"/>
  <c r="L169" i="2"/>
  <c r="M169" i="2"/>
  <c r="O169" i="2"/>
  <c r="P169" i="2"/>
  <c r="Q169" i="2"/>
  <c r="R169" i="2"/>
  <c r="C170" i="2"/>
  <c r="D170" i="2"/>
  <c r="E170" i="2"/>
  <c r="F170" i="2"/>
  <c r="G170" i="2"/>
  <c r="H170" i="2"/>
  <c r="I170" i="2"/>
  <c r="J170" i="2"/>
  <c r="K170" i="2"/>
  <c r="L170" i="2"/>
  <c r="M170" i="2"/>
  <c r="O170" i="2"/>
  <c r="P170" i="2"/>
  <c r="Q170" i="2"/>
  <c r="R170" i="2"/>
  <c r="C171" i="2"/>
  <c r="D171" i="2"/>
  <c r="E171" i="2"/>
  <c r="F171" i="2"/>
  <c r="G171" i="2"/>
  <c r="H171" i="2"/>
  <c r="I171" i="2"/>
  <c r="J171" i="2"/>
  <c r="K171" i="2"/>
  <c r="L171" i="2"/>
  <c r="M171" i="2"/>
  <c r="O171" i="2"/>
  <c r="P171" i="2"/>
  <c r="Q171" i="2"/>
  <c r="R171" i="2"/>
  <c r="C172" i="2"/>
  <c r="D172" i="2"/>
  <c r="E172" i="2"/>
  <c r="F172" i="2"/>
  <c r="G172" i="2"/>
  <c r="H172" i="2"/>
  <c r="I172" i="2"/>
  <c r="J172" i="2"/>
  <c r="K172" i="2"/>
  <c r="L172" i="2"/>
  <c r="M172" i="2"/>
  <c r="O172" i="2"/>
  <c r="P172" i="2"/>
  <c r="Q172" i="2"/>
  <c r="R172" i="2"/>
  <c r="C173" i="2"/>
  <c r="D173" i="2"/>
  <c r="E173" i="2"/>
  <c r="F173" i="2"/>
  <c r="G173" i="2"/>
  <c r="H173" i="2"/>
  <c r="I173" i="2"/>
  <c r="J173" i="2"/>
  <c r="K173" i="2"/>
  <c r="L173" i="2"/>
  <c r="M173" i="2"/>
  <c r="O173" i="2"/>
  <c r="P173" i="2"/>
  <c r="Q173" i="2"/>
  <c r="R173" i="2"/>
  <c r="C174" i="2"/>
  <c r="D174" i="2"/>
  <c r="E174" i="2"/>
  <c r="F174" i="2"/>
  <c r="G174" i="2"/>
  <c r="H174" i="2"/>
  <c r="I174" i="2"/>
  <c r="J174" i="2"/>
  <c r="K174" i="2"/>
  <c r="L174" i="2"/>
  <c r="M174" i="2"/>
  <c r="O174" i="2"/>
  <c r="P174" i="2"/>
  <c r="Q174" i="2"/>
  <c r="R174" i="2"/>
  <c r="C175" i="2"/>
  <c r="D175" i="2"/>
  <c r="E175" i="2"/>
  <c r="F175" i="2"/>
  <c r="G175" i="2"/>
  <c r="H175" i="2"/>
  <c r="I175" i="2"/>
  <c r="J175" i="2"/>
  <c r="K175" i="2"/>
  <c r="L175" i="2"/>
  <c r="M175" i="2"/>
  <c r="O175" i="2"/>
  <c r="P175" i="2"/>
  <c r="Q175" i="2"/>
  <c r="R175" i="2"/>
  <c r="C176" i="2"/>
  <c r="D176" i="2"/>
  <c r="E176" i="2"/>
  <c r="F176" i="2"/>
  <c r="G176" i="2"/>
  <c r="H176" i="2"/>
  <c r="I176" i="2"/>
  <c r="J176" i="2"/>
  <c r="K176" i="2"/>
  <c r="L176" i="2"/>
  <c r="M176" i="2"/>
  <c r="O176" i="2"/>
  <c r="P176" i="2"/>
  <c r="Q176" i="2"/>
  <c r="R176" i="2"/>
  <c r="C177" i="2"/>
  <c r="D177" i="2"/>
  <c r="E177" i="2"/>
  <c r="F177" i="2"/>
  <c r="G177" i="2"/>
  <c r="H177" i="2"/>
  <c r="I177" i="2"/>
  <c r="J177" i="2"/>
  <c r="K177" i="2"/>
  <c r="L177" i="2"/>
  <c r="M177" i="2"/>
  <c r="O177" i="2"/>
  <c r="P177" i="2"/>
  <c r="Q177" i="2"/>
  <c r="R177" i="2"/>
  <c r="C178" i="2"/>
  <c r="D178" i="2"/>
  <c r="E178" i="2"/>
  <c r="F178" i="2"/>
  <c r="G178" i="2"/>
  <c r="H178" i="2"/>
  <c r="I178" i="2"/>
  <c r="J178" i="2"/>
  <c r="K178" i="2"/>
  <c r="L178" i="2"/>
  <c r="M178" i="2"/>
  <c r="O178" i="2"/>
  <c r="P178" i="2"/>
  <c r="Q178" i="2"/>
  <c r="R178" i="2"/>
  <c r="C179" i="2"/>
  <c r="D179" i="2"/>
  <c r="E179" i="2"/>
  <c r="F179" i="2"/>
  <c r="G179" i="2"/>
  <c r="H179" i="2"/>
  <c r="I179" i="2"/>
  <c r="J179" i="2"/>
  <c r="K179" i="2"/>
  <c r="L179" i="2"/>
  <c r="M179" i="2"/>
  <c r="O179" i="2"/>
  <c r="P179" i="2"/>
  <c r="Q179" i="2"/>
  <c r="R179" i="2"/>
  <c r="C180" i="2"/>
  <c r="D180" i="2"/>
  <c r="E180" i="2"/>
  <c r="F180" i="2"/>
  <c r="G180" i="2"/>
  <c r="H180" i="2"/>
  <c r="I180" i="2"/>
  <c r="J180" i="2"/>
  <c r="K180" i="2"/>
  <c r="L180" i="2"/>
  <c r="M180" i="2"/>
  <c r="O180" i="2"/>
  <c r="P180" i="2"/>
  <c r="Q180" i="2"/>
  <c r="R180" i="2"/>
  <c r="C181" i="2"/>
  <c r="D181" i="2"/>
  <c r="E181" i="2"/>
  <c r="H181" i="2"/>
  <c r="I181" i="2"/>
  <c r="J181" i="2"/>
  <c r="K181" i="2"/>
  <c r="L181" i="2"/>
  <c r="M181" i="2"/>
  <c r="O181" i="2"/>
  <c r="P181" i="2"/>
  <c r="Q181" i="2"/>
  <c r="R181" i="2"/>
  <c r="C182" i="2"/>
  <c r="D182" i="2"/>
  <c r="E182" i="2"/>
  <c r="F182" i="2"/>
  <c r="G182" i="2"/>
  <c r="H182" i="2"/>
  <c r="I182" i="2"/>
  <c r="J182" i="2"/>
  <c r="K182" i="2"/>
  <c r="L182" i="2"/>
  <c r="M182" i="2"/>
  <c r="O182" i="2"/>
  <c r="P182" i="2"/>
  <c r="Q182" i="2"/>
  <c r="R182" i="2"/>
  <c r="C183" i="2"/>
  <c r="D183" i="2"/>
  <c r="E183" i="2"/>
  <c r="F183" i="2"/>
  <c r="G183" i="2"/>
  <c r="H183" i="2"/>
  <c r="I183" i="2"/>
  <c r="J183" i="2"/>
  <c r="K183" i="2"/>
  <c r="L183" i="2"/>
  <c r="M183" i="2"/>
  <c r="O183" i="2"/>
  <c r="P183" i="2"/>
  <c r="Q183" i="2"/>
  <c r="R183" i="2"/>
  <c r="C184" i="2"/>
  <c r="D184" i="2"/>
  <c r="E184" i="2"/>
  <c r="F184" i="2"/>
  <c r="G184" i="2"/>
  <c r="H184" i="2"/>
  <c r="I184" i="2"/>
  <c r="J184" i="2"/>
  <c r="K184" i="2"/>
  <c r="L184" i="2"/>
  <c r="M184" i="2"/>
  <c r="O184" i="2"/>
  <c r="P184" i="2"/>
  <c r="Q184" i="2"/>
  <c r="R184" i="2"/>
  <c r="C185" i="2"/>
  <c r="D185" i="2"/>
  <c r="E185" i="2"/>
  <c r="F185" i="2"/>
  <c r="G185" i="2"/>
  <c r="H185" i="2"/>
  <c r="I185" i="2"/>
  <c r="J185" i="2"/>
  <c r="K185" i="2"/>
  <c r="L185" i="2"/>
  <c r="M185" i="2"/>
  <c r="O185" i="2"/>
  <c r="P185" i="2"/>
  <c r="Q185" i="2"/>
  <c r="R185" i="2"/>
  <c r="C186" i="2"/>
  <c r="D186" i="2"/>
  <c r="E186" i="2"/>
  <c r="F186" i="2"/>
  <c r="G186" i="2"/>
  <c r="I186" i="2"/>
  <c r="J186" i="2"/>
  <c r="K186" i="2"/>
  <c r="L186" i="2"/>
  <c r="M186" i="2"/>
  <c r="O186" i="2"/>
  <c r="P186" i="2"/>
  <c r="Q186" i="2"/>
  <c r="R186" i="2"/>
  <c r="C187" i="2"/>
  <c r="D187" i="2"/>
  <c r="E187" i="2"/>
  <c r="F187" i="2"/>
  <c r="G187" i="2"/>
  <c r="H187" i="2"/>
  <c r="I187" i="2"/>
  <c r="J187" i="2"/>
  <c r="K187" i="2"/>
  <c r="L187" i="2"/>
  <c r="M187" i="2"/>
  <c r="O187" i="2"/>
  <c r="P187" i="2"/>
  <c r="Q187" i="2"/>
  <c r="R187" i="2"/>
  <c r="C188" i="2"/>
  <c r="D188" i="2"/>
  <c r="E188" i="2"/>
  <c r="F188" i="2"/>
  <c r="G188" i="2"/>
  <c r="H188" i="2"/>
  <c r="I188" i="2"/>
  <c r="J188" i="2"/>
  <c r="K188" i="2"/>
  <c r="L188" i="2"/>
  <c r="M188" i="2"/>
  <c r="O188" i="2"/>
  <c r="P188" i="2"/>
  <c r="Q188" i="2"/>
  <c r="R188" i="2"/>
  <c r="C189" i="2"/>
  <c r="D189" i="2"/>
  <c r="E189" i="2"/>
  <c r="F189" i="2"/>
  <c r="G189" i="2"/>
  <c r="H189" i="2"/>
  <c r="I189" i="2"/>
  <c r="J189" i="2"/>
  <c r="K189" i="2"/>
  <c r="L189" i="2"/>
  <c r="M189" i="2"/>
  <c r="O189" i="2"/>
  <c r="P189" i="2"/>
  <c r="Q189" i="2"/>
  <c r="R189" i="2"/>
  <c r="C190" i="2"/>
  <c r="D190" i="2"/>
  <c r="E190" i="2"/>
  <c r="F190" i="2"/>
  <c r="G190" i="2"/>
  <c r="H190" i="2"/>
  <c r="I190" i="2"/>
  <c r="J190" i="2"/>
  <c r="K190" i="2"/>
  <c r="L190" i="2"/>
  <c r="M190" i="2"/>
  <c r="O190" i="2"/>
  <c r="P190" i="2"/>
  <c r="Q190" i="2"/>
  <c r="R190" i="2"/>
  <c r="C191" i="2"/>
  <c r="D191" i="2"/>
  <c r="E191" i="2"/>
  <c r="F191" i="2"/>
  <c r="G191" i="2"/>
  <c r="H191" i="2"/>
  <c r="I191" i="2"/>
  <c r="J191" i="2"/>
  <c r="K191" i="2"/>
  <c r="L191" i="2"/>
  <c r="M191" i="2"/>
  <c r="O191" i="2"/>
  <c r="P191" i="2"/>
  <c r="Q191" i="2"/>
  <c r="R191" i="2"/>
  <c r="C192" i="2"/>
  <c r="D192" i="2"/>
  <c r="E192" i="2"/>
  <c r="F192" i="2"/>
  <c r="G192" i="2"/>
  <c r="H192" i="2"/>
  <c r="I192" i="2"/>
  <c r="J192" i="2"/>
  <c r="K192" i="2"/>
  <c r="L192" i="2"/>
  <c r="M192" i="2"/>
  <c r="O192" i="2"/>
  <c r="P192" i="2"/>
  <c r="Q192" i="2"/>
  <c r="R192" i="2"/>
  <c r="C193" i="2"/>
  <c r="D193" i="2"/>
  <c r="E193" i="2"/>
  <c r="F193" i="2"/>
  <c r="G193" i="2"/>
  <c r="H193" i="2"/>
  <c r="I193" i="2"/>
  <c r="J193" i="2"/>
  <c r="K193" i="2"/>
  <c r="L193" i="2"/>
  <c r="M193" i="2"/>
  <c r="O193" i="2"/>
  <c r="P193" i="2"/>
  <c r="Q193" i="2"/>
  <c r="R193" i="2"/>
  <c r="C194" i="2"/>
  <c r="D194" i="2"/>
  <c r="E194" i="2"/>
  <c r="F194" i="2"/>
  <c r="G194" i="2"/>
  <c r="H194" i="2"/>
  <c r="I194" i="2"/>
  <c r="J194" i="2"/>
  <c r="K194" i="2"/>
  <c r="L194" i="2"/>
  <c r="M194" i="2"/>
  <c r="O194" i="2"/>
  <c r="P194" i="2"/>
  <c r="Q194" i="2"/>
  <c r="R194" i="2"/>
  <c r="C195" i="2"/>
  <c r="D195" i="2"/>
  <c r="E195" i="2"/>
  <c r="F195" i="2"/>
  <c r="G195" i="2"/>
  <c r="H195" i="2"/>
  <c r="I195" i="2"/>
  <c r="J195" i="2"/>
  <c r="K195" i="2"/>
  <c r="L195" i="2"/>
  <c r="M195" i="2"/>
  <c r="O195" i="2"/>
  <c r="P195" i="2"/>
  <c r="Q195" i="2"/>
  <c r="R195" i="2"/>
  <c r="C196" i="2"/>
  <c r="D196" i="2"/>
  <c r="E196" i="2"/>
  <c r="F196" i="2"/>
  <c r="G196" i="2"/>
  <c r="H196" i="2"/>
  <c r="I196" i="2"/>
  <c r="J196" i="2"/>
  <c r="K196" i="2"/>
  <c r="L196" i="2"/>
  <c r="M196" i="2"/>
  <c r="O196" i="2"/>
  <c r="P196" i="2"/>
  <c r="Q196" i="2"/>
  <c r="R196" i="2"/>
  <c r="C197" i="2"/>
  <c r="D197" i="2"/>
  <c r="E197" i="2"/>
  <c r="F197" i="2"/>
  <c r="G197" i="2"/>
  <c r="H197" i="2"/>
  <c r="I197" i="2"/>
  <c r="J197" i="2"/>
  <c r="K197" i="2"/>
  <c r="L197" i="2"/>
  <c r="M197" i="2"/>
  <c r="O197" i="2"/>
  <c r="P197" i="2"/>
  <c r="Q197" i="2"/>
  <c r="R197" i="2"/>
  <c r="C198" i="2"/>
  <c r="D198" i="2"/>
  <c r="E198" i="2"/>
  <c r="F198" i="2"/>
  <c r="G198" i="2"/>
  <c r="H198" i="2"/>
  <c r="I198" i="2"/>
  <c r="J198" i="2"/>
  <c r="K198" i="2"/>
  <c r="L198" i="2"/>
  <c r="M198" i="2"/>
  <c r="O198" i="2"/>
  <c r="P198" i="2"/>
  <c r="Q198" i="2"/>
  <c r="R198" i="2"/>
  <c r="C199" i="2"/>
  <c r="D199" i="2"/>
  <c r="E199" i="2"/>
  <c r="F199" i="2"/>
  <c r="G199" i="2"/>
  <c r="H199" i="2"/>
  <c r="I199" i="2"/>
  <c r="J199" i="2"/>
  <c r="K199" i="2"/>
  <c r="L199" i="2"/>
  <c r="M199" i="2"/>
  <c r="O199" i="2"/>
  <c r="P199" i="2"/>
  <c r="Q199" i="2"/>
  <c r="R199" i="2"/>
  <c r="C200" i="2"/>
  <c r="D200" i="2"/>
  <c r="E200" i="2"/>
  <c r="F200" i="2"/>
  <c r="G200" i="2"/>
  <c r="H200" i="2"/>
  <c r="I200" i="2"/>
  <c r="J200" i="2"/>
  <c r="K200" i="2"/>
  <c r="L200" i="2"/>
  <c r="M200" i="2"/>
  <c r="O200" i="2"/>
  <c r="P200" i="2"/>
  <c r="Q200" i="2"/>
  <c r="R200" i="2"/>
  <c r="C201" i="2"/>
  <c r="D201" i="2"/>
  <c r="E201" i="2"/>
  <c r="F201" i="2"/>
  <c r="G201" i="2"/>
  <c r="H201" i="2"/>
  <c r="I201" i="2"/>
  <c r="J201" i="2"/>
  <c r="K201" i="2"/>
  <c r="L201" i="2"/>
  <c r="M201" i="2"/>
  <c r="O201" i="2"/>
  <c r="P201" i="2"/>
  <c r="Q201" i="2"/>
  <c r="R201" i="2"/>
  <c r="C202" i="2"/>
  <c r="D202" i="2"/>
  <c r="E202" i="2"/>
  <c r="F202" i="2"/>
  <c r="G202" i="2"/>
  <c r="H202" i="2"/>
  <c r="I202" i="2"/>
  <c r="J202" i="2"/>
  <c r="K202" i="2"/>
  <c r="L202" i="2"/>
  <c r="M202" i="2"/>
  <c r="O202" i="2"/>
  <c r="P202" i="2"/>
  <c r="Q202" i="2"/>
  <c r="R202" i="2"/>
  <c r="C203" i="2"/>
  <c r="D203" i="2"/>
  <c r="E203" i="2"/>
  <c r="F203" i="2"/>
  <c r="G203" i="2"/>
  <c r="H203" i="2"/>
  <c r="I203" i="2"/>
  <c r="J203" i="2"/>
  <c r="K203" i="2"/>
  <c r="L203" i="2"/>
  <c r="M203" i="2"/>
  <c r="O203" i="2"/>
  <c r="P203" i="2"/>
  <c r="Q203" i="2"/>
  <c r="R203" i="2"/>
  <c r="C204" i="2"/>
  <c r="D204" i="2"/>
  <c r="E204" i="2"/>
  <c r="F204" i="2"/>
  <c r="G204" i="2"/>
  <c r="H204" i="2"/>
  <c r="I204" i="2"/>
  <c r="J204" i="2"/>
  <c r="K204" i="2"/>
  <c r="L204" i="2"/>
  <c r="M204" i="2"/>
  <c r="O204" i="2"/>
  <c r="P204" i="2"/>
  <c r="Q204" i="2"/>
  <c r="R204" i="2"/>
  <c r="C205" i="2"/>
  <c r="D205" i="2"/>
  <c r="E205" i="2"/>
  <c r="F205" i="2"/>
  <c r="G205" i="2"/>
  <c r="H205" i="2"/>
  <c r="I205" i="2"/>
  <c r="J205" i="2"/>
  <c r="K205" i="2"/>
  <c r="L205" i="2"/>
  <c r="M205" i="2"/>
  <c r="O205" i="2"/>
  <c r="P205" i="2"/>
  <c r="Q205" i="2"/>
  <c r="R205" i="2"/>
  <c r="C206" i="2"/>
  <c r="D206" i="2"/>
  <c r="E206" i="2"/>
  <c r="F206" i="2"/>
  <c r="G206" i="2"/>
  <c r="H206" i="2"/>
  <c r="I206" i="2"/>
  <c r="J206" i="2"/>
  <c r="K206" i="2"/>
  <c r="L206" i="2"/>
  <c r="M206" i="2"/>
  <c r="O206" i="2"/>
  <c r="P206" i="2"/>
  <c r="Q206" i="2"/>
  <c r="R206" i="2"/>
  <c r="C207" i="2"/>
  <c r="D207" i="2"/>
  <c r="E207" i="2"/>
  <c r="F207" i="2"/>
  <c r="G207" i="2"/>
  <c r="H207" i="2"/>
  <c r="I207" i="2"/>
  <c r="J207" i="2"/>
  <c r="K207" i="2"/>
  <c r="L207" i="2"/>
  <c r="M207" i="2"/>
  <c r="O207" i="2"/>
  <c r="P207" i="2"/>
  <c r="Q207" i="2"/>
  <c r="R207" i="2"/>
  <c r="C208" i="2"/>
  <c r="D208" i="2"/>
  <c r="E208" i="2"/>
  <c r="F208" i="2"/>
  <c r="G208" i="2"/>
  <c r="H208" i="2"/>
  <c r="I208" i="2"/>
  <c r="J208" i="2"/>
  <c r="K208" i="2"/>
  <c r="L208" i="2"/>
  <c r="M208" i="2"/>
  <c r="O208" i="2"/>
  <c r="P208" i="2"/>
  <c r="Q208" i="2"/>
  <c r="R208" i="2"/>
  <c r="C209" i="2"/>
  <c r="D209" i="2"/>
  <c r="E209" i="2"/>
  <c r="F209" i="2"/>
  <c r="G209" i="2"/>
  <c r="H209" i="2"/>
  <c r="I209" i="2"/>
  <c r="J209" i="2"/>
  <c r="K209" i="2"/>
  <c r="L209" i="2"/>
  <c r="M209" i="2"/>
  <c r="O209" i="2"/>
  <c r="P209" i="2"/>
  <c r="Q209" i="2"/>
  <c r="R209" i="2"/>
  <c r="C210" i="2"/>
  <c r="D210" i="2"/>
  <c r="E210" i="2"/>
  <c r="F210" i="2"/>
  <c r="G210" i="2"/>
  <c r="H210" i="2"/>
  <c r="I210" i="2"/>
  <c r="J210" i="2"/>
  <c r="K210" i="2"/>
  <c r="L210" i="2"/>
  <c r="M210" i="2"/>
  <c r="O210" i="2"/>
  <c r="P210" i="2"/>
  <c r="Q210" i="2"/>
  <c r="R210" i="2"/>
  <c r="C211" i="2"/>
  <c r="D211" i="2"/>
  <c r="E211" i="2"/>
  <c r="F211" i="2"/>
  <c r="G211" i="2"/>
  <c r="H211" i="2"/>
  <c r="I211" i="2"/>
  <c r="J211" i="2"/>
  <c r="K211" i="2"/>
  <c r="L211" i="2"/>
  <c r="M211" i="2"/>
  <c r="O211" i="2"/>
  <c r="P211" i="2"/>
  <c r="Q211" i="2"/>
  <c r="R211" i="2"/>
  <c r="C212" i="2"/>
  <c r="D212" i="2"/>
  <c r="E212" i="2"/>
  <c r="F212" i="2"/>
  <c r="G212" i="2"/>
  <c r="H212" i="2"/>
  <c r="I212" i="2"/>
  <c r="J212" i="2"/>
  <c r="K212" i="2"/>
  <c r="L212" i="2"/>
  <c r="M212" i="2"/>
  <c r="O212" i="2"/>
  <c r="P212" i="2"/>
  <c r="Q212" i="2"/>
  <c r="R212" i="2"/>
  <c r="C213" i="2"/>
  <c r="D213" i="2"/>
  <c r="E213" i="2"/>
  <c r="F213" i="2"/>
  <c r="G213" i="2"/>
  <c r="H213" i="2"/>
  <c r="I213" i="2"/>
  <c r="J213" i="2"/>
  <c r="K213" i="2"/>
  <c r="L213" i="2"/>
  <c r="M213" i="2"/>
  <c r="O213" i="2"/>
  <c r="P213" i="2"/>
  <c r="Q213" i="2"/>
  <c r="R213" i="2"/>
  <c r="C214" i="2"/>
  <c r="D214" i="2"/>
  <c r="E214" i="2"/>
  <c r="F214" i="2"/>
  <c r="G214" i="2"/>
  <c r="H214" i="2"/>
  <c r="I214" i="2"/>
  <c r="J214" i="2"/>
  <c r="K214" i="2"/>
  <c r="L214" i="2"/>
  <c r="M214" i="2"/>
  <c r="O214" i="2"/>
  <c r="P214" i="2"/>
  <c r="Q214" i="2"/>
  <c r="R214" i="2"/>
  <c r="C215" i="2"/>
  <c r="D215" i="2"/>
  <c r="E215" i="2"/>
  <c r="F215" i="2"/>
  <c r="G215" i="2"/>
  <c r="H215" i="2"/>
  <c r="I215" i="2"/>
  <c r="J215" i="2"/>
  <c r="K215" i="2"/>
  <c r="L215" i="2"/>
  <c r="M215" i="2"/>
  <c r="O215" i="2"/>
  <c r="P215" i="2"/>
  <c r="Q215" i="2"/>
  <c r="R215" i="2"/>
  <c r="C216" i="2"/>
  <c r="D216" i="2"/>
  <c r="E216" i="2"/>
  <c r="F216" i="2"/>
  <c r="G216" i="2"/>
  <c r="H216" i="2"/>
  <c r="I216" i="2"/>
  <c r="J216" i="2"/>
  <c r="K216" i="2"/>
  <c r="L216" i="2"/>
  <c r="M216" i="2"/>
  <c r="O216" i="2"/>
  <c r="P216" i="2"/>
  <c r="Q216" i="2"/>
  <c r="R216" i="2"/>
  <c r="C217" i="2"/>
  <c r="D217" i="2"/>
  <c r="E217" i="2"/>
  <c r="F217" i="2"/>
  <c r="G217" i="2"/>
  <c r="H217" i="2"/>
  <c r="I217" i="2"/>
  <c r="J217" i="2"/>
  <c r="K217" i="2"/>
  <c r="L217" i="2"/>
  <c r="M217" i="2"/>
  <c r="O217" i="2"/>
  <c r="P217" i="2"/>
  <c r="Q217" i="2"/>
  <c r="R217" i="2"/>
  <c r="C218" i="2"/>
  <c r="D218" i="2"/>
  <c r="E218" i="2"/>
  <c r="F218" i="2"/>
  <c r="G218" i="2"/>
  <c r="H218" i="2"/>
  <c r="I218" i="2"/>
  <c r="J218" i="2"/>
  <c r="K218" i="2"/>
  <c r="L218" i="2"/>
  <c r="M218" i="2"/>
  <c r="O218" i="2"/>
  <c r="P218" i="2"/>
  <c r="Q218" i="2"/>
  <c r="R218" i="2"/>
  <c r="C219" i="2"/>
  <c r="D219" i="2"/>
  <c r="E219" i="2"/>
  <c r="F219" i="2"/>
  <c r="G219" i="2"/>
  <c r="H219" i="2"/>
  <c r="I219" i="2"/>
  <c r="J219" i="2"/>
  <c r="K219" i="2"/>
  <c r="L219" i="2"/>
  <c r="M219" i="2"/>
  <c r="O219" i="2"/>
  <c r="P219" i="2"/>
  <c r="Q219" i="2"/>
  <c r="R219" i="2"/>
  <c r="C220" i="2"/>
  <c r="D220" i="2"/>
  <c r="E220" i="2"/>
  <c r="F220" i="2"/>
  <c r="G220" i="2"/>
  <c r="H220" i="2"/>
  <c r="I220" i="2"/>
  <c r="J220" i="2"/>
  <c r="K220" i="2"/>
  <c r="L220" i="2"/>
  <c r="M220" i="2"/>
  <c r="O220" i="2"/>
  <c r="P220" i="2"/>
  <c r="Q220" i="2"/>
  <c r="R220" i="2"/>
  <c r="C221" i="2"/>
  <c r="D221" i="2"/>
  <c r="E221" i="2"/>
  <c r="F221" i="2"/>
  <c r="G221" i="2"/>
  <c r="H221" i="2"/>
  <c r="I221" i="2"/>
  <c r="J221" i="2"/>
  <c r="K221" i="2"/>
  <c r="L221" i="2"/>
  <c r="M221" i="2"/>
  <c r="O221" i="2"/>
  <c r="P221" i="2"/>
  <c r="Q221" i="2"/>
  <c r="R221" i="2"/>
  <c r="C222" i="2"/>
  <c r="D222" i="2"/>
  <c r="E222" i="2"/>
  <c r="F222" i="2"/>
  <c r="G222" i="2"/>
  <c r="H222" i="2"/>
  <c r="I222" i="2"/>
  <c r="J222" i="2"/>
  <c r="K222" i="2"/>
  <c r="L222" i="2"/>
  <c r="M222" i="2"/>
  <c r="O222" i="2"/>
  <c r="P222" i="2"/>
  <c r="Q222" i="2"/>
  <c r="R222" i="2"/>
  <c r="C223" i="2"/>
  <c r="D223" i="2"/>
  <c r="E223" i="2"/>
  <c r="H223" i="2"/>
  <c r="I223" i="2"/>
  <c r="J223" i="2"/>
  <c r="K223" i="2"/>
  <c r="L223" i="2"/>
  <c r="M223" i="2"/>
  <c r="O223" i="2"/>
  <c r="P223" i="2"/>
  <c r="Q223" i="2"/>
  <c r="R223" i="2"/>
  <c r="C224" i="2"/>
  <c r="D224" i="2"/>
  <c r="E224" i="2"/>
  <c r="F224" i="2"/>
  <c r="G224" i="2"/>
  <c r="H224" i="2"/>
  <c r="I224" i="2"/>
  <c r="J224" i="2"/>
  <c r="K224" i="2"/>
  <c r="L224" i="2"/>
  <c r="M224" i="2"/>
  <c r="O224" i="2"/>
  <c r="P224" i="2"/>
  <c r="Q224" i="2"/>
  <c r="R224" i="2"/>
  <c r="C225" i="2"/>
  <c r="D225" i="2"/>
  <c r="E225" i="2"/>
  <c r="F225" i="2"/>
  <c r="G225" i="2"/>
  <c r="H225" i="2"/>
  <c r="I225" i="2"/>
  <c r="J225" i="2"/>
  <c r="K225" i="2"/>
  <c r="L225" i="2"/>
  <c r="M225" i="2"/>
  <c r="O225" i="2"/>
  <c r="P225" i="2"/>
  <c r="Q225" i="2"/>
  <c r="R225" i="2"/>
  <c r="C226" i="2"/>
  <c r="D226" i="2"/>
  <c r="E226" i="2"/>
  <c r="F226" i="2"/>
  <c r="G226" i="2"/>
  <c r="H226" i="2"/>
  <c r="I226" i="2"/>
  <c r="J226" i="2"/>
  <c r="K226" i="2"/>
  <c r="L226" i="2"/>
  <c r="M226" i="2"/>
  <c r="O226" i="2"/>
  <c r="P226" i="2"/>
  <c r="Q226" i="2"/>
  <c r="R226" i="2"/>
  <c r="C227" i="2"/>
  <c r="D227" i="2"/>
  <c r="E227" i="2"/>
  <c r="F227" i="2"/>
  <c r="G227" i="2"/>
  <c r="H227" i="2"/>
  <c r="I227" i="2"/>
  <c r="J227" i="2"/>
  <c r="K227" i="2"/>
  <c r="L227" i="2"/>
  <c r="M227" i="2"/>
  <c r="O227" i="2"/>
  <c r="P227" i="2"/>
  <c r="Q227" i="2"/>
  <c r="R227" i="2"/>
  <c r="C228" i="2"/>
  <c r="D228" i="2"/>
  <c r="E228" i="2"/>
  <c r="F228" i="2"/>
  <c r="G228" i="2"/>
  <c r="H228" i="2"/>
  <c r="I228" i="2"/>
  <c r="J228" i="2"/>
  <c r="K228" i="2"/>
  <c r="L228" i="2"/>
  <c r="M228" i="2"/>
  <c r="O228" i="2"/>
  <c r="P228" i="2"/>
  <c r="Q228" i="2"/>
  <c r="R228" i="2"/>
  <c r="C229" i="2"/>
  <c r="D229" i="2"/>
  <c r="E229" i="2"/>
  <c r="F229" i="2"/>
  <c r="G229" i="2"/>
  <c r="H229" i="2"/>
  <c r="I229" i="2"/>
  <c r="J229" i="2"/>
  <c r="K229" i="2"/>
  <c r="L229" i="2"/>
  <c r="M229" i="2"/>
  <c r="O229" i="2"/>
  <c r="P229" i="2"/>
  <c r="Q229" i="2"/>
  <c r="R229" i="2"/>
  <c r="C230" i="2"/>
  <c r="D230" i="2"/>
  <c r="E230" i="2"/>
  <c r="F230" i="2"/>
  <c r="G230" i="2"/>
  <c r="H230" i="2"/>
  <c r="I230" i="2"/>
  <c r="J230" i="2"/>
  <c r="K230" i="2"/>
  <c r="L230" i="2"/>
  <c r="M230" i="2"/>
  <c r="O230" i="2"/>
  <c r="P230" i="2"/>
  <c r="Q230" i="2"/>
  <c r="R230" i="2"/>
  <c r="C231" i="2"/>
  <c r="D231" i="2"/>
  <c r="E231" i="2"/>
  <c r="F231" i="2"/>
  <c r="G231" i="2"/>
  <c r="H231" i="2"/>
  <c r="I231" i="2"/>
  <c r="J231" i="2"/>
  <c r="K231" i="2"/>
  <c r="L231" i="2"/>
  <c r="M231" i="2"/>
  <c r="O231" i="2"/>
  <c r="P231" i="2"/>
  <c r="Q231" i="2"/>
  <c r="R231" i="2"/>
  <c r="C232" i="2"/>
  <c r="D232" i="2"/>
  <c r="E232" i="2"/>
  <c r="F232" i="2"/>
  <c r="G232" i="2"/>
  <c r="H232" i="2"/>
  <c r="I232" i="2"/>
  <c r="J232" i="2"/>
  <c r="K232" i="2"/>
  <c r="L232" i="2"/>
  <c r="M232" i="2"/>
  <c r="O232" i="2"/>
  <c r="P232" i="2"/>
  <c r="Q232" i="2"/>
  <c r="R232" i="2"/>
  <c r="C233" i="2"/>
  <c r="D233" i="2"/>
  <c r="E233" i="2"/>
  <c r="F233" i="2"/>
  <c r="G233" i="2"/>
  <c r="H233" i="2"/>
  <c r="I233" i="2"/>
  <c r="J233" i="2"/>
  <c r="K233" i="2"/>
  <c r="L233" i="2"/>
  <c r="M233" i="2"/>
  <c r="O233" i="2"/>
  <c r="P233" i="2"/>
  <c r="Q233" i="2"/>
  <c r="R233" i="2"/>
  <c r="C234" i="2"/>
  <c r="D234" i="2"/>
  <c r="E234" i="2"/>
  <c r="F234" i="2"/>
  <c r="G234" i="2"/>
  <c r="H234" i="2"/>
  <c r="I234" i="2"/>
  <c r="J234" i="2"/>
  <c r="K234" i="2"/>
  <c r="L234" i="2"/>
  <c r="M234" i="2"/>
  <c r="O234" i="2"/>
  <c r="P234" i="2"/>
  <c r="Q234" i="2"/>
  <c r="R234" i="2"/>
  <c r="C235" i="2"/>
  <c r="D235" i="2"/>
  <c r="E235" i="2"/>
  <c r="F235" i="2"/>
  <c r="G235" i="2"/>
  <c r="H235" i="2"/>
  <c r="I235" i="2"/>
  <c r="J235" i="2"/>
  <c r="K235" i="2"/>
  <c r="L235" i="2"/>
  <c r="M235" i="2"/>
  <c r="O235" i="2"/>
  <c r="P235" i="2"/>
  <c r="Q235" i="2"/>
  <c r="R235" i="2"/>
  <c r="C236" i="2"/>
  <c r="D236" i="2"/>
  <c r="E236" i="2"/>
  <c r="F236" i="2"/>
  <c r="G236" i="2"/>
  <c r="H236" i="2"/>
  <c r="I236" i="2"/>
  <c r="J236" i="2"/>
  <c r="K236" i="2"/>
  <c r="L236" i="2"/>
  <c r="M236" i="2"/>
  <c r="O236" i="2"/>
  <c r="P236" i="2"/>
  <c r="Q236" i="2"/>
  <c r="R236" i="2"/>
  <c r="C237" i="2"/>
  <c r="D237" i="2"/>
  <c r="E237" i="2"/>
  <c r="F237" i="2"/>
  <c r="G237" i="2"/>
  <c r="H237" i="2"/>
  <c r="I237" i="2"/>
  <c r="J237" i="2"/>
  <c r="K237" i="2"/>
  <c r="L237" i="2"/>
  <c r="M237" i="2"/>
  <c r="O237" i="2"/>
  <c r="P237" i="2"/>
  <c r="Q237" i="2"/>
  <c r="R237" i="2"/>
  <c r="C238" i="2"/>
  <c r="D238" i="2"/>
  <c r="E238" i="2"/>
  <c r="F238" i="2"/>
  <c r="G238" i="2"/>
  <c r="H238" i="2"/>
  <c r="I238" i="2"/>
  <c r="J238" i="2"/>
  <c r="K238" i="2"/>
  <c r="L238" i="2"/>
  <c r="M238" i="2"/>
  <c r="O238" i="2"/>
  <c r="P238" i="2"/>
  <c r="Q238" i="2"/>
  <c r="R238" i="2"/>
  <c r="C239" i="2"/>
  <c r="D239" i="2"/>
  <c r="E239" i="2"/>
  <c r="F239" i="2"/>
  <c r="G239" i="2"/>
  <c r="H239" i="2"/>
  <c r="I239" i="2"/>
  <c r="J239" i="2"/>
  <c r="K239" i="2"/>
  <c r="L239" i="2"/>
  <c r="M239" i="2"/>
  <c r="O239" i="2"/>
  <c r="P239" i="2"/>
  <c r="Q239" i="2"/>
  <c r="R239" i="2"/>
  <c r="C240" i="2"/>
  <c r="D240" i="2"/>
  <c r="E240" i="2"/>
  <c r="F240" i="2"/>
  <c r="G240" i="2"/>
  <c r="H240" i="2"/>
  <c r="I240" i="2"/>
  <c r="J240" i="2"/>
  <c r="K240" i="2"/>
  <c r="L240" i="2"/>
  <c r="M240" i="2"/>
  <c r="O240" i="2"/>
  <c r="P240" i="2"/>
  <c r="Q240" i="2"/>
  <c r="R240" i="2"/>
  <c r="C241" i="2"/>
  <c r="D241" i="2"/>
  <c r="E241" i="2"/>
  <c r="F241" i="2"/>
  <c r="G241" i="2"/>
  <c r="H241" i="2"/>
  <c r="I241" i="2"/>
  <c r="J241" i="2"/>
  <c r="K241" i="2"/>
  <c r="L241" i="2"/>
  <c r="M241" i="2"/>
  <c r="O241" i="2"/>
  <c r="P241" i="2"/>
  <c r="Q241" i="2"/>
  <c r="R241" i="2"/>
  <c r="C242" i="2"/>
  <c r="D242" i="2"/>
  <c r="E242" i="2"/>
  <c r="F242" i="2"/>
  <c r="G242" i="2"/>
  <c r="H242" i="2"/>
  <c r="I242" i="2"/>
  <c r="J242" i="2"/>
  <c r="K242" i="2"/>
  <c r="L242" i="2"/>
  <c r="M242" i="2"/>
  <c r="O242" i="2"/>
  <c r="P242" i="2"/>
  <c r="Q242" i="2"/>
  <c r="R242" i="2"/>
  <c r="C243" i="2"/>
  <c r="D243" i="2"/>
  <c r="E243" i="2"/>
  <c r="F243" i="2"/>
  <c r="G243" i="2"/>
  <c r="H243" i="2"/>
  <c r="I243" i="2"/>
  <c r="J243" i="2"/>
  <c r="K243" i="2"/>
  <c r="L243" i="2"/>
  <c r="M243" i="2"/>
  <c r="O243" i="2"/>
  <c r="P243" i="2"/>
  <c r="Q243" i="2"/>
  <c r="R243" i="2"/>
  <c r="C244" i="2"/>
  <c r="D244" i="2"/>
  <c r="E244" i="2"/>
  <c r="F244" i="2"/>
  <c r="G244" i="2"/>
  <c r="H244" i="2"/>
  <c r="I244" i="2"/>
  <c r="J244" i="2"/>
  <c r="K244" i="2"/>
  <c r="L244" i="2"/>
  <c r="M244" i="2"/>
  <c r="O244" i="2"/>
  <c r="P244" i="2"/>
  <c r="Q244" i="2"/>
  <c r="R244" i="2"/>
  <c r="C245" i="2"/>
  <c r="D245" i="2"/>
  <c r="E245" i="2"/>
  <c r="F245" i="2"/>
  <c r="G245" i="2"/>
  <c r="H245" i="2"/>
  <c r="I245" i="2"/>
  <c r="J245" i="2"/>
  <c r="K245" i="2"/>
  <c r="L245" i="2"/>
  <c r="M245" i="2"/>
  <c r="O245" i="2"/>
  <c r="P245" i="2"/>
  <c r="Q245" i="2"/>
  <c r="R245" i="2"/>
  <c r="C246" i="2"/>
  <c r="D246" i="2"/>
  <c r="E246" i="2"/>
  <c r="F246" i="2"/>
  <c r="G246" i="2"/>
  <c r="H246" i="2"/>
  <c r="I246" i="2"/>
  <c r="J246" i="2"/>
  <c r="K246" i="2"/>
  <c r="L246" i="2"/>
  <c r="M246" i="2"/>
  <c r="O246" i="2"/>
  <c r="P246" i="2"/>
  <c r="Q246" i="2"/>
  <c r="R246" i="2"/>
  <c r="C247" i="2"/>
  <c r="D247" i="2"/>
  <c r="E247" i="2"/>
  <c r="F247" i="2"/>
  <c r="G247" i="2"/>
  <c r="H247" i="2"/>
  <c r="I247" i="2"/>
  <c r="J247" i="2"/>
  <c r="K247" i="2"/>
  <c r="L247" i="2"/>
  <c r="M247" i="2"/>
  <c r="O247" i="2"/>
  <c r="P247" i="2"/>
  <c r="Q247" i="2"/>
  <c r="R247" i="2"/>
  <c r="C248" i="2"/>
  <c r="D248" i="2"/>
  <c r="E248" i="2"/>
  <c r="F248" i="2"/>
  <c r="G248" i="2"/>
  <c r="H248" i="2"/>
  <c r="I248" i="2"/>
  <c r="J248" i="2"/>
  <c r="K248" i="2"/>
  <c r="L248" i="2"/>
  <c r="M248" i="2"/>
  <c r="O248" i="2"/>
  <c r="P248" i="2"/>
  <c r="Q248" i="2"/>
  <c r="R248" i="2"/>
  <c r="C249" i="2"/>
  <c r="D249" i="2"/>
  <c r="E249" i="2"/>
  <c r="F249" i="2"/>
  <c r="G249" i="2"/>
  <c r="H249" i="2"/>
  <c r="I249" i="2"/>
  <c r="J249" i="2"/>
  <c r="K249" i="2"/>
  <c r="L249" i="2"/>
  <c r="M249" i="2"/>
  <c r="O249" i="2"/>
  <c r="P249" i="2"/>
  <c r="Q249" i="2"/>
  <c r="R249" i="2"/>
  <c r="C250" i="2"/>
  <c r="D250" i="2"/>
  <c r="E250" i="2"/>
  <c r="F250" i="2"/>
  <c r="G250" i="2"/>
  <c r="H250" i="2"/>
  <c r="I250" i="2"/>
  <c r="J250" i="2"/>
  <c r="K250" i="2"/>
  <c r="L250" i="2"/>
  <c r="M250" i="2"/>
  <c r="O250" i="2"/>
  <c r="P250" i="2"/>
  <c r="Q250" i="2"/>
  <c r="R250" i="2"/>
  <c r="C251" i="2"/>
  <c r="D251" i="2"/>
  <c r="E251" i="2"/>
  <c r="F251" i="2"/>
  <c r="G251" i="2"/>
  <c r="H251" i="2"/>
  <c r="I251" i="2"/>
  <c r="J251" i="2"/>
  <c r="K251" i="2"/>
  <c r="L251" i="2"/>
  <c r="M251" i="2"/>
  <c r="O251" i="2"/>
  <c r="P251" i="2"/>
  <c r="Q251" i="2"/>
  <c r="R251" i="2"/>
  <c r="C252" i="2"/>
  <c r="D252" i="2"/>
  <c r="E252" i="2"/>
  <c r="F252" i="2"/>
  <c r="G252" i="2"/>
  <c r="H252" i="2"/>
  <c r="I252" i="2"/>
  <c r="J252" i="2"/>
  <c r="K252" i="2"/>
  <c r="L252" i="2"/>
  <c r="M252" i="2"/>
  <c r="O252" i="2"/>
  <c r="P252" i="2"/>
  <c r="Q252" i="2"/>
  <c r="R252" i="2"/>
  <c r="C253" i="2"/>
  <c r="D253" i="2"/>
  <c r="E253" i="2"/>
  <c r="F253" i="2"/>
  <c r="G253" i="2"/>
  <c r="H253" i="2"/>
  <c r="I253" i="2"/>
  <c r="J253" i="2"/>
  <c r="K253" i="2"/>
  <c r="L253" i="2"/>
  <c r="M253" i="2"/>
  <c r="O253" i="2"/>
  <c r="P253" i="2"/>
  <c r="Q253" i="2"/>
  <c r="R253" i="2"/>
  <c r="C254" i="2"/>
  <c r="D254" i="2"/>
  <c r="E254" i="2"/>
  <c r="G254" i="2"/>
  <c r="H254" i="2"/>
  <c r="I254" i="2"/>
  <c r="J254" i="2"/>
  <c r="K254" i="2"/>
  <c r="L254" i="2"/>
  <c r="M254" i="2"/>
  <c r="O254" i="2"/>
  <c r="P254" i="2"/>
  <c r="Q254" i="2"/>
  <c r="R254" i="2"/>
  <c r="C255" i="2"/>
  <c r="D255" i="2"/>
  <c r="E255" i="2"/>
  <c r="F255" i="2"/>
  <c r="G255" i="2"/>
  <c r="H255" i="2"/>
  <c r="I255" i="2"/>
  <c r="J255" i="2"/>
  <c r="K255" i="2"/>
  <c r="L255" i="2"/>
  <c r="M255" i="2"/>
  <c r="O255" i="2"/>
  <c r="P255" i="2"/>
  <c r="Q255" i="2"/>
  <c r="R255" i="2"/>
  <c r="C256" i="2"/>
  <c r="D256" i="2"/>
  <c r="E256" i="2"/>
  <c r="F256" i="2"/>
  <c r="G256" i="2"/>
  <c r="H256" i="2"/>
  <c r="I256" i="2"/>
  <c r="J256" i="2"/>
  <c r="K256" i="2"/>
  <c r="L256" i="2"/>
  <c r="M256" i="2"/>
  <c r="O256" i="2"/>
  <c r="P256" i="2"/>
  <c r="Q256" i="2"/>
  <c r="R256" i="2"/>
  <c r="C257" i="2"/>
  <c r="D257" i="2"/>
  <c r="E257" i="2"/>
  <c r="F257" i="2"/>
  <c r="G257" i="2"/>
  <c r="H257" i="2"/>
  <c r="I257" i="2"/>
  <c r="J257" i="2"/>
  <c r="K257" i="2"/>
  <c r="L257" i="2"/>
  <c r="M257" i="2"/>
  <c r="O257" i="2"/>
  <c r="P257" i="2"/>
  <c r="Q257" i="2"/>
  <c r="R257" i="2"/>
  <c r="C258" i="2"/>
  <c r="D258" i="2"/>
  <c r="E258" i="2"/>
  <c r="F258" i="2"/>
  <c r="G258" i="2"/>
  <c r="H258" i="2"/>
  <c r="I258" i="2"/>
  <c r="J258" i="2"/>
  <c r="K258" i="2"/>
  <c r="L258" i="2"/>
  <c r="M258" i="2"/>
  <c r="O258" i="2"/>
  <c r="P258" i="2"/>
  <c r="Q258" i="2"/>
  <c r="R258" i="2"/>
  <c r="C259" i="2"/>
  <c r="D259" i="2"/>
  <c r="E259" i="2"/>
  <c r="F259" i="2"/>
  <c r="G259" i="2"/>
  <c r="H259" i="2"/>
  <c r="I259" i="2"/>
  <c r="J259" i="2"/>
  <c r="K259" i="2"/>
  <c r="L259" i="2"/>
  <c r="M259" i="2"/>
  <c r="O259" i="2"/>
  <c r="P259" i="2"/>
  <c r="Q259" i="2"/>
  <c r="R259" i="2"/>
  <c r="C260" i="2"/>
  <c r="D260" i="2"/>
  <c r="E260" i="2"/>
  <c r="F260" i="2"/>
  <c r="G260" i="2"/>
  <c r="H260" i="2"/>
  <c r="I260" i="2"/>
  <c r="J260" i="2"/>
  <c r="K260" i="2"/>
  <c r="L260" i="2"/>
  <c r="M260" i="2"/>
  <c r="O260" i="2"/>
  <c r="P260" i="2"/>
  <c r="Q260" i="2"/>
  <c r="R260" i="2"/>
  <c r="C261" i="2"/>
  <c r="D261" i="2"/>
  <c r="E261" i="2"/>
  <c r="F261" i="2"/>
  <c r="G261" i="2"/>
  <c r="H261" i="2"/>
  <c r="I261" i="2"/>
  <c r="J261" i="2"/>
  <c r="K261" i="2"/>
  <c r="L261" i="2"/>
  <c r="M261" i="2"/>
  <c r="O261" i="2"/>
  <c r="P261" i="2"/>
  <c r="Q261" i="2"/>
  <c r="R261" i="2"/>
  <c r="C262" i="2"/>
  <c r="D262" i="2"/>
  <c r="E262" i="2"/>
  <c r="F262" i="2"/>
  <c r="G262" i="2"/>
  <c r="H262" i="2"/>
  <c r="I262" i="2"/>
  <c r="J262" i="2"/>
  <c r="K262" i="2"/>
  <c r="L262" i="2"/>
  <c r="M262" i="2"/>
  <c r="O262" i="2"/>
  <c r="P262" i="2"/>
  <c r="Q262" i="2"/>
  <c r="R262" i="2"/>
  <c r="C263" i="2"/>
  <c r="D263" i="2"/>
  <c r="E263" i="2"/>
  <c r="F263" i="2"/>
  <c r="G263" i="2"/>
  <c r="H263" i="2"/>
  <c r="I263" i="2"/>
  <c r="J263" i="2"/>
  <c r="K263" i="2"/>
  <c r="L263" i="2"/>
  <c r="M263" i="2"/>
  <c r="O263" i="2"/>
  <c r="P263" i="2"/>
  <c r="Q263" i="2"/>
  <c r="R263" i="2"/>
  <c r="C264" i="2"/>
  <c r="D264" i="2"/>
  <c r="E264" i="2"/>
  <c r="F264" i="2"/>
  <c r="G264" i="2"/>
  <c r="H264" i="2"/>
  <c r="I264" i="2"/>
  <c r="J264" i="2"/>
  <c r="K264" i="2"/>
  <c r="L264" i="2"/>
  <c r="M264" i="2"/>
  <c r="O264" i="2"/>
  <c r="P264" i="2"/>
  <c r="Q264" i="2"/>
  <c r="R264" i="2"/>
  <c r="C265" i="2"/>
  <c r="D265" i="2"/>
  <c r="E265" i="2"/>
  <c r="F265" i="2"/>
  <c r="G265" i="2"/>
  <c r="H265" i="2"/>
  <c r="I265" i="2"/>
  <c r="J265" i="2"/>
  <c r="K265" i="2"/>
  <c r="L265" i="2"/>
  <c r="M265" i="2"/>
  <c r="O265" i="2"/>
  <c r="P265" i="2"/>
  <c r="Q265" i="2"/>
  <c r="R265" i="2"/>
  <c r="C266" i="2"/>
  <c r="D266" i="2"/>
  <c r="E266" i="2"/>
  <c r="F266" i="2"/>
  <c r="G266" i="2"/>
  <c r="I266" i="2"/>
  <c r="J266" i="2"/>
  <c r="K266" i="2"/>
  <c r="L266" i="2"/>
  <c r="M266" i="2"/>
  <c r="O266" i="2"/>
  <c r="P266" i="2"/>
  <c r="Q266" i="2"/>
  <c r="R266" i="2"/>
  <c r="C267" i="2"/>
  <c r="D267" i="2"/>
  <c r="E267" i="2"/>
  <c r="F267" i="2"/>
  <c r="G267" i="2"/>
  <c r="H267" i="2"/>
  <c r="I267" i="2"/>
  <c r="J267" i="2"/>
  <c r="K267" i="2"/>
  <c r="L267" i="2"/>
  <c r="M267" i="2"/>
  <c r="O267" i="2"/>
  <c r="P267" i="2"/>
  <c r="Q267" i="2"/>
  <c r="R267" i="2"/>
  <c r="C268" i="2"/>
  <c r="D268" i="2"/>
  <c r="E268" i="2"/>
  <c r="F268" i="2"/>
  <c r="G268" i="2"/>
  <c r="H268" i="2"/>
  <c r="I268" i="2"/>
  <c r="J268" i="2"/>
  <c r="K268" i="2"/>
  <c r="L268" i="2"/>
  <c r="M268" i="2"/>
  <c r="O268" i="2"/>
  <c r="P268" i="2"/>
  <c r="Q268" i="2"/>
  <c r="R268" i="2"/>
  <c r="C269" i="2"/>
  <c r="D269" i="2"/>
  <c r="E269" i="2"/>
  <c r="F269" i="2"/>
  <c r="G269" i="2"/>
  <c r="H269" i="2"/>
  <c r="I269" i="2"/>
  <c r="J269" i="2"/>
  <c r="K269" i="2"/>
  <c r="L269" i="2"/>
  <c r="M269" i="2"/>
  <c r="O269" i="2"/>
  <c r="P269" i="2"/>
  <c r="Q269" i="2"/>
  <c r="R269" i="2"/>
  <c r="C270" i="2"/>
  <c r="D270" i="2"/>
  <c r="E270" i="2"/>
  <c r="F270" i="2"/>
  <c r="G270" i="2"/>
  <c r="H270" i="2"/>
  <c r="I270" i="2"/>
  <c r="J270" i="2"/>
  <c r="K270" i="2"/>
  <c r="L270" i="2"/>
  <c r="M270" i="2"/>
  <c r="O270" i="2"/>
  <c r="P270" i="2"/>
  <c r="Q270" i="2"/>
  <c r="R270" i="2"/>
  <c r="C271" i="2"/>
  <c r="D271" i="2"/>
  <c r="E271" i="2"/>
  <c r="F271" i="2"/>
  <c r="G271" i="2"/>
  <c r="H271" i="2"/>
  <c r="I271" i="2"/>
  <c r="J271" i="2"/>
  <c r="K271" i="2"/>
  <c r="L271" i="2"/>
  <c r="M271" i="2"/>
  <c r="O271" i="2"/>
  <c r="P271" i="2"/>
  <c r="Q271" i="2"/>
  <c r="R271" i="2"/>
  <c r="C272" i="2"/>
  <c r="D272" i="2"/>
  <c r="E272" i="2"/>
  <c r="F272" i="2"/>
  <c r="G272" i="2"/>
  <c r="H272" i="2"/>
  <c r="I272" i="2"/>
  <c r="J272" i="2"/>
  <c r="K272" i="2"/>
  <c r="L272" i="2"/>
  <c r="M272" i="2"/>
  <c r="O272" i="2"/>
  <c r="P272" i="2"/>
  <c r="Q272" i="2"/>
  <c r="R272" i="2"/>
  <c r="C273" i="2"/>
  <c r="D273" i="2"/>
  <c r="E273" i="2"/>
  <c r="F273" i="2"/>
  <c r="G273" i="2"/>
  <c r="H273" i="2"/>
  <c r="I273" i="2"/>
  <c r="J273" i="2"/>
  <c r="K273" i="2"/>
  <c r="L273" i="2"/>
  <c r="M273" i="2"/>
  <c r="O273" i="2"/>
  <c r="P273" i="2"/>
  <c r="Q273" i="2"/>
  <c r="R273" i="2"/>
  <c r="C274" i="2"/>
  <c r="D274" i="2"/>
  <c r="E274" i="2"/>
  <c r="F274" i="2"/>
  <c r="G274" i="2"/>
  <c r="H274" i="2"/>
  <c r="I274" i="2"/>
  <c r="J274" i="2"/>
  <c r="K274" i="2"/>
  <c r="L274" i="2"/>
  <c r="M274" i="2"/>
  <c r="O274" i="2"/>
  <c r="P274" i="2"/>
  <c r="Q274" i="2"/>
  <c r="R274" i="2"/>
  <c r="C275" i="2"/>
  <c r="D275" i="2"/>
  <c r="E275" i="2"/>
  <c r="F275" i="2"/>
  <c r="G275" i="2"/>
  <c r="H275" i="2"/>
  <c r="I275" i="2"/>
  <c r="J275" i="2"/>
  <c r="K275" i="2"/>
  <c r="L275" i="2"/>
  <c r="M275" i="2"/>
  <c r="O275" i="2"/>
  <c r="P275" i="2"/>
  <c r="Q275" i="2"/>
  <c r="R275" i="2"/>
  <c r="C276" i="2"/>
  <c r="D276" i="2"/>
  <c r="E276" i="2"/>
  <c r="F276" i="2"/>
  <c r="G276" i="2"/>
  <c r="H276" i="2"/>
  <c r="I276" i="2"/>
  <c r="J276" i="2"/>
  <c r="K276" i="2"/>
  <c r="L276" i="2"/>
  <c r="M276" i="2"/>
  <c r="O276" i="2"/>
  <c r="P276" i="2"/>
  <c r="Q276" i="2"/>
  <c r="R276" i="2"/>
  <c r="C277" i="2"/>
  <c r="D277" i="2"/>
  <c r="E277" i="2"/>
  <c r="F277" i="2"/>
  <c r="G277" i="2"/>
  <c r="H277" i="2"/>
  <c r="I277" i="2"/>
  <c r="J277" i="2"/>
  <c r="K277" i="2"/>
  <c r="L277" i="2"/>
  <c r="M277" i="2"/>
  <c r="O277" i="2"/>
  <c r="P277" i="2"/>
  <c r="Q277" i="2"/>
  <c r="R277" i="2"/>
  <c r="C278" i="2"/>
  <c r="D278" i="2"/>
  <c r="E278" i="2"/>
  <c r="F278" i="2"/>
  <c r="G278" i="2"/>
  <c r="H278" i="2"/>
  <c r="I278" i="2"/>
  <c r="J278" i="2"/>
  <c r="K278" i="2"/>
  <c r="L278" i="2"/>
  <c r="M278" i="2"/>
  <c r="O278" i="2"/>
  <c r="P278" i="2"/>
  <c r="Q278" i="2"/>
  <c r="R278" i="2"/>
  <c r="C279" i="2"/>
  <c r="D279" i="2"/>
  <c r="E279" i="2"/>
  <c r="F279" i="2"/>
  <c r="G279" i="2"/>
  <c r="H279" i="2"/>
  <c r="I279" i="2"/>
  <c r="J279" i="2"/>
  <c r="K279" i="2"/>
  <c r="L279" i="2"/>
  <c r="M279" i="2"/>
  <c r="O279" i="2"/>
  <c r="P279" i="2"/>
  <c r="Q279" i="2"/>
  <c r="R279" i="2"/>
  <c r="C280" i="2"/>
  <c r="D280" i="2"/>
  <c r="E280" i="2"/>
  <c r="F280" i="2"/>
  <c r="G280" i="2"/>
  <c r="H280" i="2"/>
  <c r="I280" i="2"/>
  <c r="J280" i="2"/>
  <c r="K280" i="2"/>
  <c r="L280" i="2"/>
  <c r="M280" i="2"/>
  <c r="O280" i="2"/>
  <c r="P280" i="2"/>
  <c r="Q280" i="2"/>
  <c r="R280" i="2"/>
  <c r="C281" i="2"/>
  <c r="D281" i="2"/>
  <c r="E281" i="2"/>
  <c r="F281" i="2"/>
  <c r="G281" i="2"/>
  <c r="H281" i="2"/>
  <c r="I281" i="2"/>
  <c r="J281" i="2"/>
  <c r="K281" i="2"/>
  <c r="L281" i="2"/>
  <c r="M281" i="2"/>
  <c r="O281" i="2"/>
  <c r="P281" i="2"/>
  <c r="Q281" i="2"/>
  <c r="R281" i="2"/>
  <c r="C282" i="2"/>
  <c r="D282" i="2"/>
  <c r="E282" i="2"/>
  <c r="F282" i="2"/>
  <c r="G282" i="2"/>
  <c r="H282" i="2"/>
  <c r="I282" i="2"/>
  <c r="J282" i="2"/>
  <c r="K282" i="2"/>
  <c r="L282" i="2"/>
  <c r="M282" i="2"/>
  <c r="O282" i="2"/>
  <c r="P282" i="2"/>
  <c r="Q282" i="2"/>
  <c r="R282" i="2"/>
  <c r="C283" i="2"/>
  <c r="D283" i="2"/>
  <c r="E283" i="2"/>
  <c r="F283" i="2"/>
  <c r="G283" i="2"/>
  <c r="H283" i="2"/>
  <c r="I283" i="2"/>
  <c r="J283" i="2"/>
  <c r="K283" i="2"/>
  <c r="L283" i="2"/>
  <c r="M283" i="2"/>
  <c r="O283" i="2"/>
  <c r="P283" i="2"/>
  <c r="Q283" i="2"/>
  <c r="R283" i="2"/>
  <c r="C284" i="2"/>
  <c r="D284" i="2"/>
  <c r="E284" i="2"/>
  <c r="F284" i="2"/>
  <c r="G284" i="2"/>
  <c r="H284" i="2"/>
  <c r="I284" i="2"/>
  <c r="J284" i="2"/>
  <c r="K284" i="2"/>
  <c r="L284" i="2"/>
  <c r="M284" i="2"/>
  <c r="O284" i="2"/>
  <c r="P284" i="2"/>
  <c r="Q284" i="2"/>
  <c r="R284" i="2"/>
  <c r="C285" i="2"/>
  <c r="D285" i="2"/>
  <c r="E285" i="2"/>
  <c r="F285" i="2"/>
  <c r="G285" i="2"/>
  <c r="H285" i="2"/>
  <c r="I285" i="2"/>
  <c r="J285" i="2"/>
  <c r="K285" i="2"/>
  <c r="L285" i="2"/>
  <c r="M285" i="2"/>
  <c r="O285" i="2"/>
  <c r="P285" i="2"/>
  <c r="Q285" i="2"/>
  <c r="R285" i="2"/>
  <c r="C286" i="2"/>
  <c r="D286" i="2"/>
  <c r="E286" i="2"/>
  <c r="F286" i="2"/>
  <c r="G286" i="2"/>
  <c r="H286" i="2"/>
  <c r="I286" i="2"/>
  <c r="J286" i="2"/>
  <c r="K286" i="2"/>
  <c r="L286" i="2"/>
  <c r="M286" i="2"/>
  <c r="O286" i="2"/>
  <c r="P286" i="2"/>
  <c r="Q286" i="2"/>
  <c r="R286" i="2"/>
  <c r="C287" i="2"/>
  <c r="D287" i="2"/>
  <c r="E287" i="2"/>
  <c r="F287" i="2"/>
  <c r="G287" i="2"/>
  <c r="H287" i="2"/>
  <c r="I287" i="2"/>
  <c r="J287" i="2"/>
  <c r="K287" i="2"/>
  <c r="L287" i="2"/>
  <c r="M287" i="2"/>
  <c r="O287" i="2"/>
  <c r="P287" i="2"/>
  <c r="Q287" i="2"/>
  <c r="R287" i="2"/>
  <c r="C288" i="2"/>
  <c r="D288" i="2"/>
  <c r="E288" i="2"/>
  <c r="F288" i="2"/>
  <c r="G288" i="2"/>
  <c r="H288" i="2"/>
  <c r="I288" i="2"/>
  <c r="J288" i="2"/>
  <c r="K288" i="2"/>
  <c r="L288" i="2"/>
  <c r="M288" i="2"/>
  <c r="O288" i="2"/>
  <c r="P288" i="2"/>
  <c r="Q288" i="2"/>
  <c r="R288" i="2"/>
  <c r="C289" i="2"/>
  <c r="D289" i="2"/>
  <c r="E289" i="2"/>
  <c r="G289" i="2"/>
  <c r="H289" i="2"/>
  <c r="I289" i="2"/>
  <c r="J289" i="2"/>
  <c r="K289" i="2"/>
  <c r="L289" i="2"/>
  <c r="M289" i="2"/>
  <c r="O289" i="2"/>
  <c r="P289" i="2"/>
  <c r="Q289" i="2"/>
  <c r="R289" i="2"/>
  <c r="C290" i="2"/>
  <c r="D290" i="2"/>
  <c r="E290" i="2"/>
  <c r="F290" i="2"/>
  <c r="G290" i="2"/>
  <c r="H290" i="2"/>
  <c r="I290" i="2"/>
  <c r="J290" i="2"/>
  <c r="K290" i="2"/>
  <c r="L290" i="2"/>
  <c r="M290" i="2"/>
  <c r="O290" i="2"/>
  <c r="P290" i="2"/>
  <c r="Q290" i="2"/>
  <c r="R290" i="2"/>
  <c r="C291" i="2"/>
  <c r="D291" i="2"/>
  <c r="E291" i="2"/>
  <c r="F291" i="2"/>
  <c r="G291" i="2"/>
  <c r="H291" i="2"/>
  <c r="I291" i="2"/>
  <c r="J291" i="2"/>
  <c r="K291" i="2"/>
  <c r="L291" i="2"/>
  <c r="M291" i="2"/>
  <c r="O291" i="2"/>
  <c r="P291" i="2"/>
  <c r="Q291" i="2"/>
  <c r="R291" i="2"/>
  <c r="C292" i="2"/>
  <c r="D292" i="2"/>
  <c r="E292" i="2"/>
  <c r="F292" i="2"/>
  <c r="G292" i="2"/>
  <c r="H292" i="2"/>
  <c r="I292" i="2"/>
  <c r="J292" i="2"/>
  <c r="K292" i="2"/>
  <c r="L292" i="2"/>
  <c r="M292" i="2"/>
  <c r="O292" i="2"/>
  <c r="P292" i="2"/>
  <c r="Q292" i="2"/>
  <c r="R292" i="2"/>
  <c r="C293" i="2"/>
  <c r="D293" i="2"/>
  <c r="E293" i="2"/>
  <c r="F293" i="2"/>
  <c r="G293" i="2"/>
  <c r="H293" i="2"/>
  <c r="I293" i="2"/>
  <c r="J293" i="2"/>
  <c r="K293" i="2"/>
  <c r="L293" i="2"/>
  <c r="M293" i="2"/>
  <c r="O293" i="2"/>
  <c r="P293" i="2"/>
  <c r="Q293" i="2"/>
  <c r="R293" i="2"/>
  <c r="C294" i="2"/>
  <c r="D294" i="2"/>
  <c r="E294" i="2"/>
  <c r="F294" i="2"/>
  <c r="G294" i="2"/>
  <c r="H294" i="2"/>
  <c r="I294" i="2"/>
  <c r="J294" i="2"/>
  <c r="K294" i="2"/>
  <c r="L294" i="2"/>
  <c r="M294" i="2"/>
  <c r="O294" i="2"/>
  <c r="P294" i="2"/>
  <c r="Q294" i="2"/>
  <c r="R294" i="2"/>
  <c r="C295" i="2"/>
  <c r="D295" i="2"/>
  <c r="E295" i="2"/>
  <c r="F295" i="2"/>
  <c r="G295" i="2"/>
  <c r="H295" i="2"/>
  <c r="I295" i="2"/>
  <c r="J295" i="2"/>
  <c r="K295" i="2"/>
  <c r="L295" i="2"/>
  <c r="M295" i="2"/>
  <c r="O295" i="2"/>
  <c r="P295" i="2"/>
  <c r="Q295" i="2"/>
  <c r="R295" i="2"/>
  <c r="C296" i="2"/>
  <c r="D296" i="2"/>
  <c r="E296" i="2"/>
  <c r="F296" i="2"/>
  <c r="G296" i="2"/>
  <c r="H296" i="2"/>
  <c r="I296" i="2"/>
  <c r="J296" i="2"/>
  <c r="K296" i="2"/>
  <c r="L296" i="2"/>
  <c r="M296" i="2"/>
  <c r="O296" i="2"/>
  <c r="P296" i="2"/>
  <c r="Q296" i="2"/>
  <c r="R296" i="2"/>
  <c r="C297" i="2"/>
  <c r="D297" i="2"/>
  <c r="E297" i="2"/>
  <c r="F297" i="2"/>
  <c r="G297" i="2"/>
  <c r="H297" i="2"/>
  <c r="I297" i="2"/>
  <c r="J297" i="2"/>
  <c r="K297" i="2"/>
  <c r="L297" i="2"/>
  <c r="M297" i="2"/>
  <c r="O297" i="2"/>
  <c r="P297" i="2"/>
  <c r="Q297" i="2"/>
  <c r="R297" i="2"/>
  <c r="C298" i="2"/>
  <c r="D298" i="2"/>
  <c r="E298" i="2"/>
  <c r="F298" i="2"/>
  <c r="G298" i="2"/>
  <c r="H298" i="2"/>
  <c r="I298" i="2"/>
  <c r="J298" i="2"/>
  <c r="K298" i="2"/>
  <c r="L298" i="2"/>
  <c r="M298" i="2"/>
  <c r="O298" i="2"/>
  <c r="P298" i="2"/>
  <c r="Q298" i="2"/>
  <c r="R298" i="2"/>
  <c r="C299" i="2"/>
  <c r="D299" i="2"/>
  <c r="E299" i="2"/>
  <c r="F299" i="2"/>
  <c r="G299" i="2"/>
  <c r="H299" i="2"/>
  <c r="I299" i="2"/>
  <c r="J299" i="2"/>
  <c r="K299" i="2"/>
  <c r="L299" i="2"/>
  <c r="M299" i="2"/>
  <c r="O299" i="2"/>
  <c r="P299" i="2"/>
  <c r="Q299" i="2"/>
  <c r="R299" i="2"/>
  <c r="C300" i="2"/>
  <c r="D300" i="2"/>
  <c r="E300" i="2"/>
  <c r="F300" i="2"/>
  <c r="G300" i="2"/>
  <c r="H300" i="2"/>
  <c r="I300" i="2"/>
  <c r="J300" i="2"/>
  <c r="K300" i="2"/>
  <c r="L300" i="2"/>
  <c r="M300" i="2"/>
  <c r="O300" i="2"/>
  <c r="P300" i="2"/>
  <c r="Q300" i="2"/>
  <c r="R300" i="2"/>
  <c r="C301" i="2"/>
  <c r="D301" i="2"/>
  <c r="E301" i="2"/>
  <c r="F301" i="2"/>
  <c r="G301" i="2"/>
  <c r="H301" i="2"/>
  <c r="I301" i="2"/>
  <c r="J301" i="2"/>
  <c r="K301" i="2"/>
  <c r="L301" i="2"/>
  <c r="M301" i="2"/>
  <c r="O301" i="2"/>
  <c r="P301" i="2"/>
  <c r="Q301" i="2"/>
  <c r="R301" i="2"/>
  <c r="A9" i="3" l="1"/>
  <c r="B9" i="3"/>
  <c r="C9" i="3"/>
  <c r="A10" i="3"/>
  <c r="B10" i="3"/>
  <c r="C10" i="3"/>
  <c r="A11" i="3"/>
  <c r="B11" i="3"/>
  <c r="C11" i="3"/>
  <c r="A12" i="3"/>
  <c r="B12" i="3"/>
  <c r="C12" i="3"/>
  <c r="A13" i="3"/>
  <c r="B13" i="3"/>
  <c r="C13" i="3"/>
  <c r="A14" i="3"/>
  <c r="B14" i="3"/>
  <c r="C14" i="3"/>
  <c r="A15" i="3"/>
  <c r="B15" i="3"/>
  <c r="C15" i="3"/>
  <c r="A16" i="3"/>
  <c r="B16" i="3"/>
  <c r="C16" i="3"/>
  <c r="A17" i="3"/>
  <c r="B17" i="3"/>
  <c r="C17" i="3"/>
  <c r="A18" i="3"/>
  <c r="B18" i="3"/>
  <c r="C18" i="3"/>
  <c r="A19" i="3"/>
  <c r="B19" i="3"/>
  <c r="C19" i="3"/>
  <c r="A20" i="3"/>
  <c r="B20" i="3"/>
  <c r="C20" i="3"/>
  <c r="A21" i="3"/>
  <c r="B21" i="3"/>
  <c r="C21" i="3"/>
  <c r="A22" i="3"/>
  <c r="B22" i="3"/>
  <c r="C22" i="3"/>
  <c r="A23" i="3"/>
  <c r="B23" i="3"/>
  <c r="C23" i="3"/>
  <c r="A24" i="3"/>
  <c r="B24" i="3"/>
  <c r="C24" i="3"/>
  <c r="A25" i="3"/>
  <c r="B25" i="3"/>
  <c r="C25" i="3"/>
  <c r="A26" i="3"/>
  <c r="B26" i="3"/>
  <c r="C26" i="3"/>
  <c r="A27" i="3"/>
  <c r="B27" i="3"/>
  <c r="C27" i="3"/>
  <c r="A28" i="3"/>
  <c r="B28" i="3"/>
  <c r="C28" i="3"/>
  <c r="A29" i="3"/>
  <c r="B29" i="3"/>
  <c r="C29" i="3"/>
  <c r="A30" i="3"/>
  <c r="B30" i="3"/>
  <c r="C30" i="3"/>
  <c r="A31" i="3"/>
  <c r="B31" i="3"/>
  <c r="C31" i="3"/>
  <c r="A32" i="3"/>
  <c r="B32" i="3"/>
  <c r="C32" i="3"/>
  <c r="A33" i="3"/>
  <c r="B33" i="3"/>
  <c r="C33" i="3"/>
  <c r="A34" i="3"/>
  <c r="B34" i="3"/>
  <c r="C34" i="3"/>
  <c r="A35" i="3"/>
  <c r="B35" i="3"/>
  <c r="C35" i="3"/>
  <c r="A36" i="3"/>
  <c r="B36" i="3"/>
  <c r="C36" i="3"/>
  <c r="A37" i="3"/>
  <c r="B37" i="3"/>
  <c r="C37" i="3"/>
  <c r="A38" i="3"/>
  <c r="B38" i="3"/>
  <c r="C38" i="3"/>
  <c r="A39" i="3"/>
  <c r="B39" i="3"/>
  <c r="C39" i="3"/>
  <c r="A40" i="3"/>
  <c r="B40" i="3"/>
  <c r="C40" i="3"/>
  <c r="A41" i="3"/>
  <c r="B41" i="3"/>
  <c r="C41" i="3"/>
  <c r="A42" i="3"/>
  <c r="B42" i="3"/>
  <c r="C42" i="3"/>
  <c r="A43" i="3"/>
  <c r="B43" i="3"/>
  <c r="C43" i="3"/>
  <c r="A44" i="3"/>
  <c r="B44" i="3"/>
  <c r="C44" i="3"/>
  <c r="A45" i="3"/>
  <c r="B45" i="3"/>
  <c r="C45" i="3"/>
  <c r="A46" i="3"/>
  <c r="B46" i="3"/>
  <c r="C46" i="3"/>
  <c r="A47" i="3"/>
  <c r="B47" i="3"/>
  <c r="C47" i="3"/>
  <c r="A48" i="3"/>
  <c r="B48" i="3"/>
  <c r="C48" i="3"/>
  <c r="A49" i="3"/>
  <c r="B49" i="3"/>
  <c r="C49" i="3"/>
  <c r="A50" i="3"/>
  <c r="B50" i="3"/>
  <c r="C50" i="3"/>
  <c r="A51" i="3"/>
  <c r="B51" i="3"/>
  <c r="C51" i="3"/>
  <c r="A52" i="3"/>
  <c r="B52" i="3"/>
  <c r="C52" i="3"/>
  <c r="A53" i="3"/>
  <c r="B53" i="3"/>
  <c r="C53" i="3"/>
  <c r="A54" i="3"/>
  <c r="B54" i="3"/>
  <c r="C54" i="3"/>
  <c r="A55" i="3"/>
  <c r="B55" i="3"/>
  <c r="C55" i="3"/>
  <c r="A56" i="3"/>
  <c r="B56" i="3"/>
  <c r="C56" i="3"/>
  <c r="A57" i="3"/>
  <c r="B57" i="3"/>
  <c r="C57" i="3"/>
  <c r="A58" i="3"/>
  <c r="B58" i="3"/>
  <c r="C58" i="3"/>
  <c r="A59" i="3"/>
  <c r="B59" i="3"/>
  <c r="C59" i="3"/>
  <c r="A60" i="3"/>
  <c r="B60" i="3"/>
  <c r="C60" i="3"/>
  <c r="A61" i="3"/>
  <c r="B61" i="3"/>
  <c r="C61" i="3"/>
  <c r="A62" i="3"/>
  <c r="B62" i="3"/>
  <c r="C62" i="3"/>
  <c r="A63" i="3"/>
  <c r="B63" i="3"/>
  <c r="C63" i="3"/>
  <c r="A64" i="3"/>
  <c r="B64" i="3"/>
  <c r="C64" i="3"/>
  <c r="A65" i="3"/>
  <c r="B65" i="3"/>
  <c r="C65" i="3"/>
  <c r="A66" i="3"/>
  <c r="B66" i="3"/>
  <c r="C66" i="3"/>
  <c r="A67" i="3"/>
  <c r="B67" i="3"/>
  <c r="C67" i="3"/>
  <c r="A68" i="3"/>
  <c r="B68" i="3"/>
  <c r="C68" i="3"/>
  <c r="A69" i="3"/>
  <c r="B69" i="3"/>
  <c r="C69" i="3"/>
  <c r="A70" i="3"/>
  <c r="B70" i="3"/>
  <c r="C70" i="3"/>
  <c r="A71" i="3"/>
  <c r="B71" i="3"/>
  <c r="C71" i="3"/>
  <c r="A72" i="3"/>
  <c r="B72" i="3"/>
  <c r="C72" i="3"/>
  <c r="A73" i="3"/>
  <c r="B73" i="3"/>
  <c r="C73" i="3"/>
  <c r="A74" i="3"/>
  <c r="B74" i="3"/>
  <c r="C74" i="3"/>
  <c r="A75" i="3"/>
  <c r="B75" i="3"/>
  <c r="C75" i="3"/>
  <c r="A76" i="3"/>
  <c r="B76" i="3"/>
  <c r="C76" i="3"/>
  <c r="A77" i="3"/>
  <c r="B77" i="3"/>
  <c r="C77" i="3"/>
  <c r="A78" i="3"/>
  <c r="B78" i="3"/>
  <c r="C78" i="3"/>
  <c r="A79" i="3"/>
  <c r="B79" i="3"/>
  <c r="C79" i="3"/>
  <c r="A80" i="3"/>
  <c r="B80" i="3"/>
  <c r="C80" i="3"/>
  <c r="A81" i="3"/>
  <c r="B81" i="3"/>
  <c r="C81" i="3"/>
  <c r="A82" i="3"/>
  <c r="B82" i="3"/>
  <c r="C82" i="3"/>
  <c r="A83" i="3"/>
  <c r="B83" i="3"/>
  <c r="C83" i="3"/>
  <c r="A84" i="3"/>
  <c r="B84" i="3"/>
  <c r="C84" i="3"/>
  <c r="A85" i="3"/>
  <c r="B85" i="3"/>
  <c r="C85" i="3"/>
  <c r="A86" i="3"/>
  <c r="B86" i="3"/>
  <c r="C86" i="3"/>
  <c r="A87" i="3"/>
  <c r="B87" i="3"/>
  <c r="C87" i="3"/>
  <c r="A88" i="3"/>
  <c r="B88" i="3"/>
  <c r="C88" i="3"/>
  <c r="A89" i="3"/>
  <c r="B89" i="3"/>
  <c r="C89" i="3"/>
  <c r="A90" i="3"/>
  <c r="B90" i="3"/>
  <c r="C90" i="3"/>
  <c r="A91" i="3"/>
  <c r="B91" i="3"/>
  <c r="C91" i="3"/>
  <c r="A92" i="3"/>
  <c r="B92" i="3"/>
  <c r="C92" i="3"/>
  <c r="A93" i="3"/>
  <c r="B93" i="3"/>
  <c r="C93" i="3"/>
  <c r="A94" i="3"/>
  <c r="B94" i="3"/>
  <c r="C94" i="3"/>
  <c r="A95" i="3"/>
  <c r="B95" i="3"/>
  <c r="C95" i="3"/>
  <c r="A96" i="3"/>
  <c r="B96" i="3"/>
  <c r="C96" i="3"/>
  <c r="A97" i="3"/>
  <c r="B97" i="3"/>
  <c r="C97" i="3"/>
  <c r="A98" i="3"/>
  <c r="B98" i="3"/>
  <c r="C98" i="3"/>
  <c r="A99" i="3"/>
  <c r="B99" i="3"/>
  <c r="C99" i="3"/>
  <c r="A100" i="3"/>
  <c r="B100" i="3"/>
  <c r="C100" i="3"/>
  <c r="A101" i="3"/>
  <c r="B101" i="3"/>
  <c r="C101" i="3"/>
  <c r="A102" i="3"/>
  <c r="B102" i="3"/>
  <c r="C102" i="3"/>
  <c r="A103" i="3"/>
  <c r="B103" i="3"/>
  <c r="C103" i="3"/>
  <c r="A104" i="3"/>
  <c r="B104" i="3"/>
  <c r="C104" i="3"/>
  <c r="A105" i="3"/>
  <c r="B105" i="3"/>
  <c r="C105" i="3"/>
  <c r="A106" i="3"/>
  <c r="B106" i="3"/>
  <c r="C106" i="3"/>
  <c r="A107" i="3"/>
  <c r="B107" i="3"/>
  <c r="C107" i="3"/>
  <c r="A108" i="3"/>
  <c r="B108" i="3"/>
  <c r="C108" i="3"/>
  <c r="A109" i="3"/>
  <c r="B109" i="3"/>
  <c r="C109" i="3"/>
  <c r="A110" i="3"/>
  <c r="B110" i="3"/>
  <c r="C110" i="3"/>
  <c r="A111" i="3"/>
  <c r="B111" i="3"/>
  <c r="C111" i="3"/>
  <c r="A112" i="3"/>
  <c r="B112" i="3"/>
  <c r="C112" i="3"/>
  <c r="A113" i="3"/>
  <c r="B113" i="3"/>
  <c r="C113" i="3"/>
  <c r="A114" i="3"/>
  <c r="B114" i="3"/>
  <c r="C114" i="3"/>
  <c r="A115" i="3"/>
  <c r="B115" i="3"/>
  <c r="C115" i="3"/>
  <c r="A116" i="3"/>
  <c r="B116" i="3"/>
  <c r="C116" i="3"/>
  <c r="A117" i="3"/>
  <c r="B117" i="3"/>
  <c r="C117" i="3"/>
  <c r="A118" i="3"/>
  <c r="B118" i="3"/>
  <c r="C118" i="3"/>
  <c r="A119" i="3"/>
  <c r="B119" i="3"/>
  <c r="C119" i="3"/>
  <c r="A120" i="3"/>
  <c r="B120" i="3"/>
  <c r="C120" i="3"/>
  <c r="A121" i="3"/>
  <c r="B121" i="3"/>
  <c r="C121" i="3"/>
  <c r="A122" i="3"/>
  <c r="B122" i="3"/>
  <c r="C122" i="3"/>
  <c r="A123" i="3"/>
  <c r="B123" i="3"/>
  <c r="C123" i="3"/>
  <c r="A124" i="3"/>
  <c r="B124" i="3"/>
  <c r="C124" i="3"/>
  <c r="A125" i="3"/>
  <c r="B125" i="3"/>
  <c r="C125" i="3"/>
  <c r="A126" i="3"/>
  <c r="B126" i="3"/>
  <c r="C126" i="3"/>
  <c r="A127" i="3"/>
  <c r="B127" i="3"/>
  <c r="C127" i="3"/>
  <c r="A128" i="3"/>
  <c r="B128" i="3"/>
  <c r="C128" i="3"/>
  <c r="A129" i="3"/>
  <c r="B129" i="3"/>
  <c r="C129" i="3"/>
  <c r="A130" i="3"/>
  <c r="B130" i="3"/>
  <c r="C130" i="3"/>
  <c r="A131" i="3"/>
  <c r="B131" i="3"/>
  <c r="C131" i="3"/>
  <c r="A132" i="3"/>
  <c r="B132" i="3"/>
  <c r="C132" i="3"/>
  <c r="A133" i="3"/>
  <c r="B133" i="3"/>
  <c r="C133" i="3"/>
  <c r="A134" i="3"/>
  <c r="B134" i="3"/>
  <c r="C134" i="3"/>
  <c r="A135" i="3"/>
  <c r="B135" i="3"/>
  <c r="C135" i="3"/>
  <c r="A136" i="3"/>
  <c r="B136" i="3"/>
  <c r="C136" i="3"/>
  <c r="A137" i="3"/>
  <c r="B137" i="3"/>
  <c r="C137" i="3"/>
  <c r="A138" i="3"/>
  <c r="B138" i="3"/>
  <c r="C138" i="3"/>
  <c r="A139" i="3"/>
  <c r="B139" i="3"/>
  <c r="C139" i="3"/>
  <c r="A140" i="3"/>
  <c r="B140" i="3"/>
  <c r="C140" i="3"/>
  <c r="A141" i="3"/>
  <c r="B141" i="3"/>
  <c r="C141" i="3"/>
  <c r="A142" i="3"/>
  <c r="B142" i="3"/>
  <c r="C142" i="3"/>
  <c r="A143" i="3"/>
  <c r="B143" i="3"/>
  <c r="C143" i="3"/>
  <c r="A144" i="3"/>
  <c r="B144" i="3"/>
  <c r="C144" i="3"/>
  <c r="A145" i="3"/>
  <c r="B145" i="3"/>
  <c r="C145" i="3"/>
  <c r="A146" i="3"/>
  <c r="B146" i="3"/>
  <c r="C146" i="3"/>
  <c r="A147" i="3"/>
  <c r="B147" i="3"/>
  <c r="C147" i="3"/>
  <c r="A148" i="3"/>
  <c r="B148" i="3"/>
  <c r="C148" i="3"/>
  <c r="A149" i="3"/>
  <c r="B149" i="3"/>
  <c r="C149" i="3"/>
  <c r="A150" i="3"/>
  <c r="B150" i="3"/>
  <c r="C150" i="3"/>
  <c r="A151" i="3"/>
  <c r="B151" i="3"/>
  <c r="C151" i="3"/>
  <c r="A152" i="3"/>
  <c r="B152" i="3"/>
  <c r="C152" i="3"/>
  <c r="A153" i="3"/>
  <c r="B153" i="3"/>
  <c r="C153" i="3"/>
  <c r="A154" i="3"/>
  <c r="B154" i="3"/>
  <c r="C154" i="3"/>
  <c r="A155" i="3"/>
  <c r="B155" i="3"/>
  <c r="C155" i="3"/>
  <c r="A156" i="3"/>
  <c r="B156" i="3"/>
  <c r="C156" i="3"/>
  <c r="A157" i="3"/>
  <c r="B157" i="3"/>
  <c r="C157" i="3"/>
  <c r="A158" i="3"/>
  <c r="B158" i="3"/>
  <c r="C158" i="3"/>
  <c r="A159" i="3"/>
  <c r="B159" i="3"/>
  <c r="C159" i="3"/>
  <c r="A160" i="3"/>
  <c r="B160" i="3"/>
  <c r="C160" i="3"/>
  <c r="A161" i="3"/>
  <c r="B161" i="3"/>
  <c r="C161" i="3"/>
  <c r="A162" i="3"/>
  <c r="B162" i="3"/>
  <c r="C162" i="3"/>
  <c r="A163" i="3"/>
  <c r="B163" i="3"/>
  <c r="C163" i="3"/>
  <c r="A164" i="3"/>
  <c r="B164" i="3"/>
  <c r="C164" i="3"/>
  <c r="A165" i="3"/>
  <c r="B165" i="3"/>
  <c r="C165" i="3"/>
  <c r="A166" i="3"/>
  <c r="B166" i="3"/>
  <c r="C166" i="3"/>
  <c r="A167" i="3"/>
  <c r="B167" i="3"/>
  <c r="C167" i="3"/>
  <c r="A168" i="3"/>
  <c r="B168" i="3"/>
  <c r="C168" i="3"/>
  <c r="A169" i="3"/>
  <c r="B169" i="3"/>
  <c r="C169" i="3"/>
  <c r="A170" i="3"/>
  <c r="B170" i="3"/>
  <c r="C170" i="3"/>
  <c r="A171" i="3"/>
  <c r="B171" i="3"/>
  <c r="C171" i="3"/>
  <c r="A172" i="3"/>
  <c r="B172" i="3"/>
  <c r="C172" i="3"/>
  <c r="A173" i="3"/>
  <c r="B173" i="3"/>
  <c r="C173" i="3"/>
  <c r="A174" i="3"/>
  <c r="B174" i="3"/>
  <c r="C174" i="3"/>
  <c r="A175" i="3"/>
  <c r="B175" i="3"/>
  <c r="C175" i="3"/>
  <c r="A176" i="3"/>
  <c r="B176" i="3"/>
  <c r="C176" i="3"/>
  <c r="A177" i="3"/>
  <c r="B177" i="3"/>
  <c r="C177" i="3"/>
  <c r="A178" i="3"/>
  <c r="B178" i="3"/>
  <c r="C178" i="3"/>
  <c r="A179" i="3"/>
  <c r="B179" i="3"/>
  <c r="C179" i="3"/>
  <c r="A180" i="3"/>
  <c r="B180" i="3"/>
  <c r="C180" i="3"/>
  <c r="A181" i="3"/>
  <c r="B181" i="3"/>
  <c r="C181" i="3"/>
  <c r="A182" i="3"/>
  <c r="B182" i="3"/>
  <c r="C182" i="3"/>
  <c r="A183" i="3"/>
  <c r="B183" i="3"/>
  <c r="C183" i="3"/>
  <c r="A184" i="3"/>
  <c r="B184" i="3"/>
  <c r="C184" i="3"/>
  <c r="A185" i="3"/>
  <c r="B185" i="3"/>
  <c r="C185" i="3"/>
  <c r="A186" i="3"/>
  <c r="B186" i="3"/>
  <c r="C186" i="3"/>
  <c r="A187" i="3"/>
  <c r="B187" i="3"/>
  <c r="C187" i="3"/>
  <c r="A188" i="3"/>
  <c r="B188" i="3"/>
  <c r="C188" i="3"/>
  <c r="A189" i="3"/>
  <c r="B189" i="3"/>
  <c r="C189" i="3"/>
  <c r="A190" i="3"/>
  <c r="B190" i="3"/>
  <c r="C190" i="3"/>
  <c r="A191" i="3"/>
  <c r="B191" i="3"/>
  <c r="C191" i="3"/>
  <c r="A192" i="3"/>
  <c r="B192" i="3"/>
  <c r="C192" i="3"/>
  <c r="A193" i="3"/>
  <c r="B193" i="3"/>
  <c r="C193" i="3"/>
  <c r="A194" i="3"/>
  <c r="B194" i="3"/>
  <c r="C194" i="3"/>
  <c r="A195" i="3"/>
  <c r="B195" i="3"/>
  <c r="C195" i="3"/>
  <c r="A196" i="3"/>
  <c r="B196" i="3"/>
  <c r="C196" i="3"/>
  <c r="A197" i="3"/>
  <c r="B197" i="3"/>
  <c r="C197" i="3"/>
  <c r="A198" i="3"/>
  <c r="B198" i="3"/>
  <c r="C198" i="3"/>
  <c r="A199" i="3"/>
  <c r="B199" i="3"/>
  <c r="C199" i="3"/>
  <c r="A200" i="3"/>
  <c r="B200" i="3"/>
  <c r="C200" i="3"/>
  <c r="A201" i="3"/>
  <c r="B201" i="3"/>
  <c r="C201" i="3"/>
  <c r="A202" i="3"/>
  <c r="B202" i="3"/>
  <c r="C202" i="3"/>
  <c r="A203" i="3"/>
  <c r="B203" i="3"/>
  <c r="C203" i="3"/>
  <c r="A204" i="3"/>
  <c r="B204" i="3"/>
  <c r="C204" i="3"/>
  <c r="A205" i="3"/>
  <c r="B205" i="3"/>
  <c r="C205" i="3"/>
  <c r="A206" i="3"/>
  <c r="B206" i="3"/>
  <c r="C206" i="3"/>
  <c r="A207" i="3"/>
  <c r="B207" i="3"/>
  <c r="C207" i="3"/>
  <c r="A208" i="3"/>
  <c r="B208" i="3"/>
  <c r="C208" i="3"/>
  <c r="A209" i="3"/>
  <c r="B209" i="3"/>
  <c r="C209" i="3"/>
  <c r="A210" i="3"/>
  <c r="B210" i="3"/>
  <c r="C210" i="3"/>
  <c r="A211" i="3"/>
  <c r="B211" i="3"/>
  <c r="C211" i="3"/>
  <c r="A212" i="3"/>
  <c r="B212" i="3"/>
  <c r="C212" i="3"/>
  <c r="A213" i="3"/>
  <c r="B213" i="3"/>
  <c r="C213" i="3"/>
  <c r="A214" i="3"/>
  <c r="B214" i="3"/>
  <c r="C214" i="3"/>
  <c r="A215" i="3"/>
  <c r="B215" i="3"/>
  <c r="C215" i="3"/>
  <c r="A216" i="3"/>
  <c r="B216" i="3"/>
  <c r="C216" i="3"/>
  <c r="A217" i="3"/>
  <c r="B217" i="3"/>
  <c r="C217" i="3"/>
  <c r="A218" i="3"/>
  <c r="B218" i="3"/>
  <c r="C218" i="3"/>
  <c r="A219" i="3"/>
  <c r="B219" i="3"/>
  <c r="C219" i="3"/>
  <c r="A220" i="3"/>
  <c r="B220" i="3"/>
  <c r="C220" i="3"/>
  <c r="A221" i="3"/>
  <c r="B221" i="3"/>
  <c r="C221" i="3"/>
  <c r="A222" i="3"/>
  <c r="B222" i="3"/>
  <c r="C222" i="3"/>
  <c r="A223" i="3"/>
  <c r="B223" i="3"/>
  <c r="C223" i="3"/>
  <c r="A224" i="3"/>
  <c r="B224" i="3"/>
  <c r="C224" i="3"/>
  <c r="A225" i="3"/>
  <c r="B225" i="3"/>
  <c r="C225" i="3"/>
  <c r="A226" i="3"/>
  <c r="B226" i="3"/>
  <c r="C226" i="3"/>
  <c r="A227" i="3"/>
  <c r="B227" i="3"/>
  <c r="C227" i="3"/>
  <c r="A228" i="3"/>
  <c r="B228" i="3"/>
  <c r="C228" i="3"/>
  <c r="A229" i="3"/>
  <c r="B229" i="3"/>
  <c r="C229" i="3"/>
  <c r="A230" i="3"/>
  <c r="B230" i="3"/>
  <c r="C230" i="3"/>
  <c r="A231" i="3"/>
  <c r="B231" i="3"/>
  <c r="C231" i="3"/>
  <c r="A232" i="3"/>
  <c r="B232" i="3"/>
  <c r="C232" i="3"/>
  <c r="A233" i="3"/>
  <c r="B233" i="3"/>
  <c r="C233" i="3"/>
  <c r="A234" i="3"/>
  <c r="B234" i="3"/>
  <c r="C234" i="3"/>
  <c r="A235" i="3"/>
  <c r="B235" i="3"/>
  <c r="C235" i="3"/>
  <c r="A236" i="3"/>
  <c r="B236" i="3"/>
  <c r="C236" i="3"/>
  <c r="A237" i="3"/>
  <c r="B237" i="3"/>
  <c r="C237" i="3"/>
  <c r="A238" i="3"/>
  <c r="B238" i="3"/>
  <c r="C238" i="3"/>
  <c r="A239" i="3"/>
  <c r="B239" i="3"/>
  <c r="C239" i="3"/>
  <c r="A240" i="3"/>
  <c r="B240" i="3"/>
  <c r="C240" i="3"/>
  <c r="A241" i="3"/>
  <c r="B241" i="3"/>
  <c r="C241" i="3"/>
  <c r="A242" i="3"/>
  <c r="B242" i="3"/>
  <c r="C242" i="3"/>
  <c r="A243" i="3"/>
  <c r="B243" i="3"/>
  <c r="C243" i="3"/>
  <c r="A244" i="3"/>
  <c r="B244" i="3"/>
  <c r="C244" i="3"/>
  <c r="A245" i="3"/>
  <c r="B245" i="3"/>
  <c r="C245" i="3"/>
  <c r="A246" i="3"/>
  <c r="B246" i="3"/>
  <c r="C246" i="3"/>
  <c r="A247" i="3"/>
  <c r="B247" i="3"/>
  <c r="C247" i="3"/>
  <c r="A248" i="3"/>
  <c r="B248" i="3"/>
  <c r="C248" i="3"/>
  <c r="A249" i="3"/>
  <c r="B249" i="3"/>
  <c r="C249" i="3"/>
  <c r="A250" i="3"/>
  <c r="B250" i="3"/>
  <c r="C250" i="3"/>
  <c r="A251" i="3"/>
  <c r="B251" i="3"/>
  <c r="C251" i="3"/>
  <c r="A252" i="3"/>
  <c r="B252" i="3"/>
  <c r="C252" i="3"/>
  <c r="A253" i="3"/>
  <c r="B253" i="3"/>
  <c r="C253" i="3"/>
  <c r="A254" i="3"/>
  <c r="B254" i="3"/>
  <c r="C254" i="3"/>
  <c r="A255" i="3"/>
  <c r="B255" i="3"/>
  <c r="C255" i="3"/>
  <c r="A256" i="3"/>
  <c r="B256" i="3"/>
  <c r="C256" i="3"/>
  <c r="A257" i="3"/>
  <c r="B257" i="3"/>
  <c r="C257" i="3"/>
  <c r="A258" i="3"/>
  <c r="B258" i="3"/>
  <c r="C258" i="3"/>
  <c r="A259" i="3"/>
  <c r="B259" i="3"/>
  <c r="C259" i="3"/>
  <c r="A260" i="3"/>
  <c r="B260" i="3"/>
  <c r="C260" i="3"/>
  <c r="A261" i="3"/>
  <c r="B261" i="3"/>
  <c r="C261" i="3"/>
  <c r="A262" i="3"/>
  <c r="B262" i="3"/>
  <c r="C262" i="3"/>
  <c r="A263" i="3"/>
  <c r="B263" i="3"/>
  <c r="C263" i="3"/>
  <c r="A264" i="3"/>
  <c r="B264" i="3"/>
  <c r="C264" i="3"/>
  <c r="A265" i="3"/>
  <c r="B265" i="3"/>
  <c r="C265" i="3"/>
  <c r="A266" i="3"/>
  <c r="B266" i="3"/>
  <c r="C266" i="3"/>
  <c r="A267" i="3"/>
  <c r="B267" i="3"/>
  <c r="C267" i="3"/>
  <c r="A268" i="3"/>
  <c r="B268" i="3"/>
  <c r="C268" i="3"/>
  <c r="A269" i="3"/>
  <c r="B269" i="3"/>
  <c r="C269" i="3"/>
  <c r="A270" i="3"/>
  <c r="B270" i="3"/>
  <c r="C270" i="3"/>
  <c r="A271" i="3"/>
  <c r="B271" i="3"/>
  <c r="C271" i="3"/>
  <c r="A272" i="3"/>
  <c r="B272" i="3"/>
  <c r="C272" i="3"/>
  <c r="A273" i="3"/>
  <c r="B273" i="3"/>
  <c r="C273" i="3"/>
  <c r="A274" i="3"/>
  <c r="B274" i="3"/>
  <c r="C274" i="3"/>
  <c r="A275" i="3"/>
  <c r="B275" i="3"/>
  <c r="C275" i="3"/>
  <c r="A276" i="3"/>
  <c r="B276" i="3"/>
  <c r="C276" i="3"/>
  <c r="A277" i="3"/>
  <c r="B277" i="3"/>
  <c r="C277" i="3"/>
  <c r="A278" i="3"/>
  <c r="B278" i="3"/>
  <c r="C278" i="3"/>
  <c r="A279" i="3"/>
  <c r="B279" i="3"/>
  <c r="C279" i="3"/>
  <c r="A280" i="3"/>
  <c r="B280" i="3"/>
  <c r="C280" i="3"/>
  <c r="A281" i="3"/>
  <c r="B281" i="3"/>
  <c r="C281" i="3"/>
  <c r="A282" i="3"/>
  <c r="B282" i="3"/>
  <c r="C282" i="3"/>
  <c r="A283" i="3"/>
  <c r="B283" i="3"/>
  <c r="C283" i="3"/>
  <c r="A284" i="3"/>
  <c r="B284" i="3"/>
  <c r="C284" i="3"/>
  <c r="A285" i="3"/>
  <c r="B285" i="3"/>
  <c r="C285" i="3"/>
  <c r="A286" i="3"/>
  <c r="B286" i="3"/>
  <c r="C286" i="3"/>
  <c r="A287" i="3"/>
  <c r="B287" i="3"/>
  <c r="C287" i="3"/>
  <c r="A288" i="3"/>
  <c r="B288" i="3"/>
  <c r="C288" i="3"/>
  <c r="A289" i="3"/>
  <c r="B289" i="3"/>
  <c r="C289" i="3"/>
  <c r="A290" i="3"/>
  <c r="B290" i="3"/>
  <c r="C290" i="3"/>
  <c r="A291" i="3"/>
  <c r="B291" i="3"/>
  <c r="C291" i="3"/>
  <c r="A292" i="3"/>
  <c r="B292" i="3"/>
  <c r="C292" i="3"/>
  <c r="A293" i="3"/>
  <c r="B293" i="3"/>
  <c r="C293" i="3"/>
  <c r="A294" i="3"/>
  <c r="B294" i="3"/>
  <c r="C294" i="3"/>
  <c r="A295" i="3"/>
  <c r="B295" i="3"/>
  <c r="C295" i="3"/>
  <c r="A296" i="3"/>
  <c r="B296" i="3"/>
  <c r="C296" i="3"/>
  <c r="A297" i="3"/>
  <c r="B297" i="3"/>
  <c r="C297" i="3"/>
  <c r="A298" i="3"/>
  <c r="B298" i="3"/>
  <c r="C298" i="3"/>
  <c r="A299" i="3"/>
  <c r="B299" i="3"/>
  <c r="C299" i="3"/>
  <c r="A300" i="3"/>
  <c r="B300" i="3"/>
  <c r="C300" i="3"/>
  <c r="A301" i="3"/>
  <c r="B301" i="3"/>
  <c r="C301" i="3"/>
  <c r="F166" i="53" l="1"/>
  <c r="F166" i="2" s="1"/>
  <c r="U300" i="53"/>
  <c r="T154" i="53"/>
  <c r="U152" i="53"/>
  <c r="T152" i="53"/>
  <c r="S152" i="53"/>
  <c r="T224" i="53"/>
  <c r="G223" i="53"/>
  <c r="G223" i="2" s="1"/>
  <c r="F223" i="53"/>
  <c r="F223" i="2" s="1"/>
  <c r="S198" i="53"/>
  <c r="T65" i="53"/>
  <c r="T146" i="53"/>
  <c r="F33" i="53"/>
  <c r="F33" i="2" s="1"/>
  <c r="U249" i="53"/>
  <c r="T249" i="53"/>
  <c r="S249" i="53"/>
  <c r="T248" i="53"/>
  <c r="F81" i="53"/>
  <c r="F81" i="2" s="1"/>
  <c r="T290" i="53"/>
  <c r="S290" i="53"/>
  <c r="F289" i="53"/>
  <c r="F289" i="2" s="1"/>
  <c r="T229" i="53"/>
  <c r="G32" i="53"/>
  <c r="G32" i="2" s="1"/>
  <c r="F32" i="53"/>
  <c r="F32" i="2" s="1"/>
  <c r="G110" i="53"/>
  <c r="G110" i="2" s="1"/>
  <c r="F110" i="53"/>
  <c r="F110" i="2" s="1"/>
  <c r="U188" i="53"/>
  <c r="T188" i="53"/>
  <c r="S188" i="53"/>
  <c r="U187" i="53"/>
  <c r="T187" i="53"/>
  <c r="H186" i="53"/>
  <c r="H186" i="2" s="1"/>
  <c r="H138" i="53"/>
  <c r="H138" i="2" s="1"/>
  <c r="F254" i="53"/>
  <c r="F254" i="2" s="1"/>
  <c r="U133" i="53"/>
  <c r="T133" i="53"/>
  <c r="H266" i="53"/>
  <c r="H266" i="2" s="1"/>
  <c r="T182" i="53"/>
  <c r="G181" i="53"/>
  <c r="G181" i="2" s="1"/>
  <c r="F181" i="53"/>
  <c r="F181" i="2" s="1"/>
  <c r="F128" i="53"/>
  <c r="F128" i="2" s="1"/>
  <c r="T127" i="53"/>
  <c r="G27" i="53"/>
  <c r="G27" i="2" s="1"/>
  <c r="F27" i="53"/>
  <c r="F27" i="2" s="1"/>
  <c r="T89" i="53"/>
  <c r="S89" i="53"/>
  <c r="T272" i="53"/>
  <c r="U171" i="53"/>
  <c r="S171" i="53"/>
  <c r="T172" i="53"/>
  <c r="P8" i="29" l="1"/>
  <c r="O8" i="29"/>
  <c r="A263" i="2" l="1"/>
  <c r="B263" i="2"/>
  <c r="B25" i="45"/>
  <c r="V263" i="2" l="1"/>
  <c r="Q84" i="9"/>
  <c r="Q71" i="9"/>
  <c r="C45" i="21" l="1"/>
  <c r="P45" i="21"/>
  <c r="G30" i="57" l="1"/>
  <c r="G27" i="57"/>
  <c r="G26" i="57"/>
  <c r="G24" i="57"/>
  <c r="G22" i="57"/>
  <c r="G19" i="57"/>
  <c r="G17" i="57"/>
  <c r="G16" i="57"/>
  <c r="G15" i="57"/>
  <c r="G13" i="57"/>
  <c r="G12" i="57"/>
  <c r="G11" i="57"/>
  <c r="G10" i="57"/>
  <c r="G8" i="57"/>
  <c r="G7" i="57"/>
  <c r="G6" i="57"/>
  <c r="G5" i="57"/>
  <c r="W308" i="60"/>
  <c r="G28" i="57" l="1"/>
  <c r="Q4" i="50" l="1"/>
  <c r="O5" i="50"/>
  <c r="C17" i="50" l="1"/>
  <c r="F3" i="59" l="1"/>
  <c r="G14" i="59" s="1"/>
  <c r="H10" i="59" l="1"/>
  <c r="H17" i="59"/>
  <c r="H13" i="59"/>
  <c r="H12" i="59"/>
  <c r="H19" i="59"/>
  <c r="H11" i="59"/>
  <c r="H9" i="59"/>
  <c r="H7" i="59"/>
  <c r="H8" i="59"/>
  <c r="H6" i="59"/>
  <c r="D17" i="59"/>
  <c r="D6" i="59"/>
  <c r="D18" i="59"/>
  <c r="D19" i="59"/>
  <c r="D20" i="59"/>
  <c r="D12" i="59"/>
  <c r="D22" i="59"/>
  <c r="D10" i="59"/>
  <c r="D16" i="59"/>
  <c r="D11" i="59"/>
  <c r="D13" i="59"/>
  <c r="D21" i="59"/>
  <c r="D7" i="59"/>
  <c r="D15" i="59"/>
  <c r="D8" i="59"/>
  <c r="D9" i="59"/>
  <c r="A17" i="50" l="1"/>
  <c r="P9" i="21" l="1"/>
  <c r="Q9" i="21"/>
  <c r="P10" i="21"/>
  <c r="Q10" i="21"/>
  <c r="P11" i="21"/>
  <c r="Q11" i="21"/>
  <c r="P12" i="21"/>
  <c r="Q12" i="21"/>
  <c r="P13" i="21"/>
  <c r="Q13" i="21"/>
  <c r="P14" i="21"/>
  <c r="Q14" i="21"/>
  <c r="P15" i="21"/>
  <c r="Q15" i="21"/>
  <c r="P16" i="21"/>
  <c r="Q16" i="21"/>
  <c r="P17" i="21"/>
  <c r="Q17" i="21"/>
  <c r="P18" i="21"/>
  <c r="Q18" i="21"/>
  <c r="P19" i="21"/>
  <c r="Q19" i="21"/>
  <c r="P20" i="21"/>
  <c r="Q20" i="21"/>
  <c r="P21" i="21"/>
  <c r="Q21" i="21"/>
  <c r="P22" i="21"/>
  <c r="Q22" i="21"/>
  <c r="P23" i="21"/>
  <c r="Q23" i="21"/>
  <c r="P24" i="21"/>
  <c r="Q24" i="21"/>
  <c r="P25" i="21"/>
  <c r="Q25" i="21"/>
  <c r="P26" i="21"/>
  <c r="Q26" i="21"/>
  <c r="P27" i="21"/>
  <c r="Q27" i="21"/>
  <c r="P28" i="21"/>
  <c r="Q28" i="21"/>
  <c r="P29" i="21"/>
  <c r="Q29" i="21"/>
  <c r="P30" i="21"/>
  <c r="Q30" i="21"/>
  <c r="P31" i="21"/>
  <c r="Q31" i="21"/>
  <c r="P32" i="21"/>
  <c r="Q32" i="21"/>
  <c r="P33" i="21"/>
  <c r="Q33" i="21"/>
  <c r="P34" i="21"/>
  <c r="Q34" i="21"/>
  <c r="P35" i="21"/>
  <c r="Q35" i="21"/>
  <c r="P36" i="21"/>
  <c r="Q36" i="21"/>
  <c r="P37" i="21"/>
  <c r="Q37" i="21"/>
  <c r="P38" i="21"/>
  <c r="Q38" i="21"/>
  <c r="P39" i="21"/>
  <c r="Q39" i="21"/>
  <c r="P40" i="21"/>
  <c r="Q40" i="21"/>
  <c r="P41" i="21"/>
  <c r="Q41" i="21"/>
  <c r="P42" i="21"/>
  <c r="Q42" i="21"/>
  <c r="P43" i="21"/>
  <c r="Q43" i="21"/>
  <c r="P44" i="21"/>
  <c r="Q44" i="21"/>
  <c r="Q45" i="21"/>
  <c r="P46" i="21"/>
  <c r="Q46" i="21"/>
  <c r="P47" i="21"/>
  <c r="Q47" i="21"/>
  <c r="P48" i="21"/>
  <c r="Q48" i="21"/>
  <c r="P49" i="21"/>
  <c r="Q49" i="21"/>
  <c r="P50" i="21"/>
  <c r="Q50" i="21"/>
  <c r="P51" i="21"/>
  <c r="Q51" i="21"/>
  <c r="P52" i="21"/>
  <c r="Q52" i="21"/>
  <c r="P53" i="21"/>
  <c r="Q53" i="21"/>
  <c r="P54" i="21"/>
  <c r="Q54" i="21"/>
  <c r="P55" i="21"/>
  <c r="Q55" i="21"/>
  <c r="P56" i="21"/>
  <c r="Q56" i="21"/>
  <c r="P57" i="21"/>
  <c r="Q57" i="21"/>
  <c r="P58" i="21"/>
  <c r="Q58" i="21"/>
  <c r="P59" i="21"/>
  <c r="Q59" i="21"/>
  <c r="P60" i="21"/>
  <c r="Q60" i="21"/>
  <c r="P61" i="21"/>
  <c r="Q61" i="21"/>
  <c r="P62" i="21"/>
  <c r="Q62" i="21"/>
  <c r="P63" i="21"/>
  <c r="Q63" i="21"/>
  <c r="P64" i="21"/>
  <c r="Q64" i="21"/>
  <c r="P65" i="21"/>
  <c r="Q65" i="21"/>
  <c r="P66" i="21"/>
  <c r="Q66" i="21"/>
  <c r="P67" i="21"/>
  <c r="Q67" i="21"/>
  <c r="P68" i="21"/>
  <c r="Q68" i="21"/>
  <c r="P69" i="21"/>
  <c r="Q69" i="21"/>
  <c r="P70" i="21"/>
  <c r="Q70" i="21"/>
  <c r="P71" i="21"/>
  <c r="Q71" i="21"/>
  <c r="P72" i="21"/>
  <c r="Q72" i="21"/>
  <c r="P73" i="21"/>
  <c r="Q73" i="21"/>
  <c r="P74" i="21"/>
  <c r="Q74" i="21"/>
  <c r="P75" i="21"/>
  <c r="Q75" i="21"/>
  <c r="P76" i="21"/>
  <c r="Q76" i="21"/>
  <c r="P77" i="21"/>
  <c r="Q77" i="21"/>
  <c r="P78" i="21"/>
  <c r="Q78" i="21"/>
  <c r="P79" i="21"/>
  <c r="Q79" i="21"/>
  <c r="P80" i="21"/>
  <c r="Q80" i="21"/>
  <c r="P81" i="21"/>
  <c r="Q81" i="21"/>
  <c r="P82" i="21"/>
  <c r="Q82" i="21"/>
  <c r="P83" i="21"/>
  <c r="Q83" i="21"/>
  <c r="P84" i="21"/>
  <c r="Q84" i="21"/>
  <c r="P85" i="21"/>
  <c r="Q85" i="21"/>
  <c r="P86" i="21"/>
  <c r="Q86" i="21"/>
  <c r="P87" i="21"/>
  <c r="Q87" i="21"/>
  <c r="P88" i="21"/>
  <c r="Q88" i="21"/>
  <c r="P89" i="21"/>
  <c r="Q89" i="21"/>
  <c r="P90" i="21"/>
  <c r="Q90" i="21"/>
  <c r="P91" i="21"/>
  <c r="Q91" i="21"/>
  <c r="P92" i="21"/>
  <c r="Q92" i="21"/>
  <c r="P93" i="21"/>
  <c r="Q93" i="21"/>
  <c r="P94" i="21"/>
  <c r="Q94" i="21"/>
  <c r="P95" i="21"/>
  <c r="Q95" i="21"/>
  <c r="P96" i="21"/>
  <c r="Q96" i="21"/>
  <c r="P97" i="21"/>
  <c r="Q97" i="21"/>
  <c r="P98" i="21"/>
  <c r="Q98" i="21"/>
  <c r="P99" i="21"/>
  <c r="Q99" i="21"/>
  <c r="P100" i="21"/>
  <c r="Q100" i="21"/>
  <c r="P101" i="21"/>
  <c r="Q101" i="21"/>
  <c r="P102" i="21"/>
  <c r="Q102" i="21"/>
  <c r="P103" i="21"/>
  <c r="Q103" i="21"/>
  <c r="P104" i="21"/>
  <c r="Q104" i="21"/>
  <c r="P105" i="21"/>
  <c r="Q105" i="21"/>
  <c r="P106" i="21"/>
  <c r="Q106" i="21"/>
  <c r="P107" i="21"/>
  <c r="Q107" i="21"/>
  <c r="P108" i="21"/>
  <c r="Q108" i="21"/>
  <c r="P109" i="21"/>
  <c r="Q109" i="21"/>
  <c r="P110" i="21"/>
  <c r="Q110" i="21"/>
  <c r="P111" i="21"/>
  <c r="Q111" i="21"/>
  <c r="P112" i="21"/>
  <c r="Q112" i="21"/>
  <c r="P113" i="21"/>
  <c r="Q113" i="21"/>
  <c r="P114" i="21"/>
  <c r="Q114" i="21"/>
  <c r="P115" i="21"/>
  <c r="Q115" i="21"/>
  <c r="P116" i="21"/>
  <c r="Q116" i="21"/>
  <c r="P117" i="21"/>
  <c r="Q117" i="21"/>
  <c r="P118" i="21"/>
  <c r="Q118" i="21"/>
  <c r="P119" i="21"/>
  <c r="Q119" i="21"/>
  <c r="P120" i="21"/>
  <c r="Q120" i="21"/>
  <c r="P121" i="21"/>
  <c r="Q121" i="21"/>
  <c r="P122" i="21"/>
  <c r="Q122" i="21"/>
  <c r="P123" i="21"/>
  <c r="Q123" i="21"/>
  <c r="P124" i="21"/>
  <c r="Q124" i="21"/>
  <c r="P125" i="21"/>
  <c r="Q125" i="21"/>
  <c r="P126" i="21"/>
  <c r="Q126" i="21"/>
  <c r="P127" i="21"/>
  <c r="Q127" i="21"/>
  <c r="P128" i="21"/>
  <c r="Q128" i="21"/>
  <c r="P129" i="21"/>
  <c r="Q129" i="21"/>
  <c r="P130" i="21"/>
  <c r="Q130" i="21"/>
  <c r="P131" i="21"/>
  <c r="Q131" i="21"/>
  <c r="P132" i="21"/>
  <c r="Q132" i="21"/>
  <c r="P133" i="21"/>
  <c r="Q133" i="21"/>
  <c r="P134" i="21"/>
  <c r="Q134" i="21"/>
  <c r="P135" i="21"/>
  <c r="Q135" i="21"/>
  <c r="P136" i="21"/>
  <c r="Q136" i="21"/>
  <c r="P137" i="21"/>
  <c r="Q137" i="21"/>
  <c r="P138" i="21"/>
  <c r="Q138" i="21"/>
  <c r="P139" i="21"/>
  <c r="Q139" i="21"/>
  <c r="P140" i="21"/>
  <c r="Q140" i="21"/>
  <c r="P141" i="21"/>
  <c r="Q141" i="21"/>
  <c r="P142" i="21"/>
  <c r="Q142" i="21"/>
  <c r="P143" i="21"/>
  <c r="Q143" i="21"/>
  <c r="P144" i="21"/>
  <c r="Q144" i="21"/>
  <c r="P145" i="21"/>
  <c r="Q145" i="21"/>
  <c r="P146" i="21"/>
  <c r="Q146" i="21"/>
  <c r="P147" i="21"/>
  <c r="Q147" i="21"/>
  <c r="P148" i="21"/>
  <c r="Q148" i="21"/>
  <c r="P149" i="21"/>
  <c r="Q149" i="21"/>
  <c r="P150" i="21"/>
  <c r="Q150" i="21"/>
  <c r="P151" i="21"/>
  <c r="Q151" i="21"/>
  <c r="P152" i="21"/>
  <c r="Q152" i="21"/>
  <c r="P153" i="21"/>
  <c r="Q153" i="21"/>
  <c r="P154" i="21"/>
  <c r="Q154" i="21"/>
  <c r="P155" i="21"/>
  <c r="Q155" i="21"/>
  <c r="P156" i="21"/>
  <c r="Q156" i="21"/>
  <c r="P157" i="21"/>
  <c r="Q157" i="21"/>
  <c r="P158" i="21"/>
  <c r="Q158" i="21"/>
  <c r="P159" i="21"/>
  <c r="Q159" i="21"/>
  <c r="P160" i="21"/>
  <c r="Q160" i="21"/>
  <c r="P161" i="21"/>
  <c r="Q161" i="21"/>
  <c r="P162" i="21"/>
  <c r="Q162" i="21"/>
  <c r="P163" i="21"/>
  <c r="Q163" i="21"/>
  <c r="P164" i="21"/>
  <c r="Q164" i="21"/>
  <c r="P165" i="21"/>
  <c r="Q165" i="21"/>
  <c r="P166" i="21"/>
  <c r="Q166" i="21"/>
  <c r="P167" i="21"/>
  <c r="Q167" i="21"/>
  <c r="P168" i="21"/>
  <c r="Q168" i="21"/>
  <c r="P169" i="21"/>
  <c r="Q169" i="21"/>
  <c r="P170" i="21"/>
  <c r="Q170" i="21"/>
  <c r="P171" i="21"/>
  <c r="Q171" i="21"/>
  <c r="P172" i="21"/>
  <c r="Q172" i="21"/>
  <c r="P173" i="21"/>
  <c r="Q173" i="21"/>
  <c r="P174" i="21"/>
  <c r="Q174" i="21"/>
  <c r="P175" i="21"/>
  <c r="Q175" i="21"/>
  <c r="P176" i="21"/>
  <c r="Q176" i="21"/>
  <c r="P177" i="21"/>
  <c r="Q177" i="21"/>
  <c r="P178" i="21"/>
  <c r="Q178" i="21"/>
  <c r="P179" i="21"/>
  <c r="Q179" i="21"/>
  <c r="P180" i="21"/>
  <c r="Q180" i="21"/>
  <c r="P181" i="21"/>
  <c r="Q181" i="21"/>
  <c r="P182" i="21"/>
  <c r="Q182" i="21"/>
  <c r="P183" i="21"/>
  <c r="Q183" i="21"/>
  <c r="P184" i="21"/>
  <c r="Q184" i="21"/>
  <c r="P185" i="21"/>
  <c r="Q185" i="21"/>
  <c r="P186" i="21"/>
  <c r="Q186" i="21"/>
  <c r="P187" i="21"/>
  <c r="Q187" i="21"/>
  <c r="P188" i="21"/>
  <c r="Q188" i="21"/>
  <c r="P189" i="21"/>
  <c r="Q189" i="21"/>
  <c r="P190" i="21"/>
  <c r="Q190" i="21"/>
  <c r="P191" i="21"/>
  <c r="Q191" i="21"/>
  <c r="P192" i="21"/>
  <c r="Q192" i="21"/>
  <c r="P193" i="21"/>
  <c r="Q193" i="21"/>
  <c r="P194" i="21"/>
  <c r="Q194" i="21"/>
  <c r="P195" i="21"/>
  <c r="Q195" i="21"/>
  <c r="P196" i="21"/>
  <c r="Q196" i="21"/>
  <c r="P197" i="21"/>
  <c r="Q197" i="21"/>
  <c r="P198" i="21"/>
  <c r="Q198" i="21"/>
  <c r="P199" i="21"/>
  <c r="Q199" i="21"/>
  <c r="P200" i="21"/>
  <c r="Q200" i="21"/>
  <c r="P201" i="21"/>
  <c r="Q201" i="21"/>
  <c r="P202" i="21"/>
  <c r="Q202" i="21"/>
  <c r="P203" i="21"/>
  <c r="Q203" i="21"/>
  <c r="P204" i="21"/>
  <c r="Q204" i="21"/>
  <c r="P205" i="21"/>
  <c r="Q205" i="21"/>
  <c r="P206" i="21"/>
  <c r="Q206" i="21"/>
  <c r="P207" i="21"/>
  <c r="Q207" i="21"/>
  <c r="P208" i="21"/>
  <c r="Q208" i="21"/>
  <c r="P209" i="21"/>
  <c r="Q209" i="21"/>
  <c r="P210" i="21"/>
  <c r="Q210" i="21"/>
  <c r="P211" i="21"/>
  <c r="Q211" i="21"/>
  <c r="P212" i="21"/>
  <c r="Q212" i="21"/>
  <c r="P213" i="21"/>
  <c r="Q213" i="21"/>
  <c r="P214" i="21"/>
  <c r="Q214" i="21"/>
  <c r="P215" i="21"/>
  <c r="Q215" i="21"/>
  <c r="P216" i="21"/>
  <c r="Q216" i="21"/>
  <c r="P217" i="21"/>
  <c r="Q217" i="21"/>
  <c r="P218" i="21"/>
  <c r="Q218" i="21"/>
  <c r="P219" i="21"/>
  <c r="Q219" i="21"/>
  <c r="P220" i="21"/>
  <c r="Q220" i="21"/>
  <c r="P221" i="21"/>
  <c r="Q221" i="21"/>
  <c r="P222" i="21"/>
  <c r="Q222" i="21"/>
  <c r="P223" i="21"/>
  <c r="Q223" i="21"/>
  <c r="P224" i="21"/>
  <c r="Q224" i="21"/>
  <c r="P225" i="21"/>
  <c r="Q225" i="21"/>
  <c r="P226" i="21"/>
  <c r="Q226" i="21"/>
  <c r="P227" i="21"/>
  <c r="Q227" i="21"/>
  <c r="P228" i="21"/>
  <c r="Q228" i="21"/>
  <c r="P229" i="21"/>
  <c r="Q229" i="21"/>
  <c r="P230" i="21"/>
  <c r="Q230" i="21"/>
  <c r="P231" i="21"/>
  <c r="Q231" i="21"/>
  <c r="P232" i="21"/>
  <c r="Q232" i="21"/>
  <c r="P233" i="21"/>
  <c r="Q233" i="21"/>
  <c r="P234" i="21"/>
  <c r="Q234" i="21"/>
  <c r="P235" i="21"/>
  <c r="Q235" i="21"/>
  <c r="P236" i="21"/>
  <c r="Q236" i="21"/>
  <c r="P237" i="21"/>
  <c r="Q237" i="21"/>
  <c r="P238" i="21"/>
  <c r="Q238" i="21"/>
  <c r="P239" i="21"/>
  <c r="Q239" i="21"/>
  <c r="P240" i="21"/>
  <c r="Q240" i="21"/>
  <c r="P241" i="21"/>
  <c r="Q241" i="21"/>
  <c r="P242" i="21"/>
  <c r="Q242" i="21"/>
  <c r="P243" i="21"/>
  <c r="Q243" i="21"/>
  <c r="P244" i="21"/>
  <c r="Q244" i="21"/>
  <c r="P245" i="21"/>
  <c r="Q245" i="21"/>
  <c r="P246" i="21"/>
  <c r="Q246" i="21"/>
  <c r="P247" i="21"/>
  <c r="Q247" i="21"/>
  <c r="P248" i="21"/>
  <c r="Q248" i="21"/>
  <c r="P249" i="21"/>
  <c r="Q249" i="21"/>
  <c r="P250" i="21"/>
  <c r="Q250" i="21"/>
  <c r="P251" i="21"/>
  <c r="Q251" i="21"/>
  <c r="P252" i="21"/>
  <c r="Q252" i="21"/>
  <c r="P253" i="21"/>
  <c r="Q253" i="21"/>
  <c r="P254" i="21"/>
  <c r="Q254" i="21"/>
  <c r="P255" i="21"/>
  <c r="Q255" i="21"/>
  <c r="P256" i="21"/>
  <c r="Q256" i="21"/>
  <c r="P257" i="21"/>
  <c r="Q257" i="21"/>
  <c r="P258" i="21"/>
  <c r="Q258" i="21"/>
  <c r="P259" i="21"/>
  <c r="Q259" i="21"/>
  <c r="P260" i="21"/>
  <c r="Q260" i="21"/>
  <c r="P261" i="21"/>
  <c r="Q261" i="21"/>
  <c r="P262" i="21"/>
  <c r="Q262" i="21"/>
  <c r="P263" i="21"/>
  <c r="Q263" i="21"/>
  <c r="P264" i="21"/>
  <c r="Q264" i="21"/>
  <c r="P265" i="21"/>
  <c r="Q265" i="21"/>
  <c r="P266" i="21"/>
  <c r="Q266" i="21"/>
  <c r="P267" i="21"/>
  <c r="Q267" i="21"/>
  <c r="P268" i="21"/>
  <c r="Q268" i="21"/>
  <c r="P269" i="21"/>
  <c r="Q269" i="21"/>
  <c r="P270" i="21"/>
  <c r="Q270" i="21"/>
  <c r="P271" i="21"/>
  <c r="Q271" i="21"/>
  <c r="P272" i="21"/>
  <c r="Q272" i="21"/>
  <c r="P273" i="21"/>
  <c r="Q273" i="21"/>
  <c r="P274" i="21"/>
  <c r="Q274" i="21"/>
  <c r="P275" i="21"/>
  <c r="Q275" i="21"/>
  <c r="P276" i="21"/>
  <c r="Q276" i="21"/>
  <c r="P277" i="21"/>
  <c r="Q277" i="21"/>
  <c r="P278" i="21"/>
  <c r="Q278" i="21"/>
  <c r="P279" i="21"/>
  <c r="Q279" i="21"/>
  <c r="P280" i="21"/>
  <c r="Q280" i="21"/>
  <c r="P281" i="21"/>
  <c r="Q281" i="21"/>
  <c r="P282" i="21"/>
  <c r="Q282" i="21"/>
  <c r="P283" i="21"/>
  <c r="Q283" i="21"/>
  <c r="P284" i="21"/>
  <c r="Q284" i="21"/>
  <c r="P285" i="21"/>
  <c r="Q285" i="21"/>
  <c r="P286" i="21"/>
  <c r="Q286" i="21"/>
  <c r="P287" i="21"/>
  <c r="Q287" i="21"/>
  <c r="P288" i="21"/>
  <c r="Q288" i="21"/>
  <c r="P289" i="21"/>
  <c r="Q289" i="21"/>
  <c r="P290" i="21"/>
  <c r="Q290" i="21"/>
  <c r="P291" i="21"/>
  <c r="Q291" i="21"/>
  <c r="P292" i="21"/>
  <c r="Q292" i="21"/>
  <c r="P293" i="21"/>
  <c r="Q293" i="21"/>
  <c r="P294" i="21"/>
  <c r="Q294" i="21"/>
  <c r="P295" i="21"/>
  <c r="Q295" i="21"/>
  <c r="P296" i="21"/>
  <c r="Q296" i="21"/>
  <c r="P297" i="21"/>
  <c r="Q297" i="21"/>
  <c r="P298" i="21"/>
  <c r="Q298" i="21"/>
  <c r="P299" i="21"/>
  <c r="Q299" i="21"/>
  <c r="P300" i="21"/>
  <c r="Q300" i="21"/>
  <c r="P301" i="21"/>
  <c r="Q301" i="21"/>
  <c r="P8" i="21"/>
  <c r="R9" i="21"/>
  <c r="R39" i="21"/>
  <c r="Q8" i="21"/>
  <c r="R44" i="21" l="1"/>
  <c r="R68" i="21"/>
  <c r="R199" i="21"/>
  <c r="R128" i="21"/>
  <c r="R92" i="21"/>
  <c r="R80" i="21"/>
  <c r="R147" i="21"/>
  <c r="R71" i="21"/>
  <c r="R297" i="21"/>
  <c r="R290" i="21"/>
  <c r="R224" i="21"/>
  <c r="R93" i="21"/>
  <c r="R81" i="21"/>
  <c r="R53" i="21"/>
  <c r="R283" i="21"/>
  <c r="R217" i="21"/>
  <c r="R94" i="21"/>
  <c r="R229" i="21"/>
  <c r="R24" i="21"/>
  <c r="R223" i="21"/>
  <c r="R209" i="21"/>
  <c r="R154" i="21"/>
  <c r="R74" i="21"/>
  <c r="R205" i="21"/>
  <c r="R276" i="21"/>
  <c r="R230" i="21"/>
  <c r="R194" i="21"/>
  <c r="R139" i="21"/>
  <c r="R135" i="21"/>
  <c r="R99" i="21"/>
  <c r="R63" i="21"/>
  <c r="R51" i="21"/>
  <c r="R146" i="21"/>
  <c r="R62" i="21"/>
  <c r="R232" i="21"/>
  <c r="R216" i="21"/>
  <c r="R105" i="21"/>
  <c r="R45" i="21"/>
  <c r="R23" i="21"/>
  <c r="R289" i="21"/>
  <c r="R239" i="21"/>
  <c r="R140" i="21"/>
  <c r="R34" i="21"/>
  <c r="R292" i="21"/>
  <c r="R262" i="21"/>
  <c r="R250" i="21"/>
  <c r="R222" i="21"/>
  <c r="R210" i="21"/>
  <c r="R206" i="21"/>
  <c r="R198" i="21"/>
  <c r="R131" i="21"/>
  <c r="R111" i="21"/>
  <c r="R83" i="21"/>
  <c r="R59" i="21"/>
  <c r="R35" i="21"/>
  <c r="R25" i="21"/>
  <c r="R281" i="21"/>
  <c r="R231" i="21"/>
  <c r="R152" i="21"/>
  <c r="R136" i="21"/>
  <c r="R100" i="21"/>
  <c r="R56" i="21"/>
  <c r="R10" i="21"/>
  <c r="R284" i="21"/>
  <c r="R254" i="21"/>
  <c r="R242" i="21"/>
  <c r="R182" i="21"/>
  <c r="R170" i="21"/>
  <c r="R221" i="21"/>
  <c r="R197" i="21"/>
  <c r="R150" i="21"/>
  <c r="R126" i="21"/>
  <c r="R54" i="21"/>
  <c r="R301" i="21"/>
  <c r="R184" i="21"/>
  <c r="R125" i="21"/>
  <c r="R285" i="21"/>
  <c r="R251" i="21"/>
  <c r="R243" i="21"/>
  <c r="R215" i="21"/>
  <c r="R132" i="21"/>
  <c r="R124" i="21"/>
  <c r="R120" i="21"/>
  <c r="R36" i="21"/>
  <c r="R30" i="21"/>
  <c r="R26" i="21"/>
  <c r="R291" i="21"/>
  <c r="R261" i="21"/>
  <c r="R189" i="21"/>
  <c r="R177" i="21"/>
  <c r="R165" i="21"/>
  <c r="R12" i="21"/>
  <c r="R256" i="21"/>
  <c r="R196" i="21"/>
  <c r="R160" i="21"/>
  <c r="R101" i="21"/>
  <c r="R296" i="21"/>
  <c r="R87" i="21"/>
  <c r="R75" i="21"/>
  <c r="R29" i="21"/>
  <c r="R172" i="21"/>
  <c r="R137" i="21"/>
  <c r="R41" i="21"/>
  <c r="R18" i="21"/>
  <c r="R176" i="21"/>
  <c r="R110" i="21"/>
  <c r="R257" i="21"/>
  <c r="R248" i="21"/>
  <c r="R144" i="21"/>
  <c r="R76" i="21"/>
  <c r="R106" i="21"/>
  <c r="R255" i="21"/>
  <c r="R244" i="21"/>
  <c r="R227" i="21"/>
  <c r="R218" i="21"/>
  <c r="R203" i="21"/>
  <c r="R195" i="21"/>
  <c r="R183" i="21"/>
  <c r="R171" i="21"/>
  <c r="R159" i="21"/>
  <c r="R134" i="21"/>
  <c r="R86" i="21"/>
  <c r="R64" i="21"/>
  <c r="R31" i="21"/>
  <c r="R95" i="21"/>
  <c r="R151" i="21"/>
  <c r="R298" i="21"/>
  <c r="R238" i="21"/>
  <c r="R130" i="21"/>
  <c r="R50" i="21"/>
  <c r="R164" i="21"/>
  <c r="R161" i="21"/>
  <c r="R17" i="21"/>
  <c r="R286" i="21"/>
  <c r="R204" i="21"/>
  <c r="R211" i="21"/>
  <c r="R46" i="21"/>
  <c r="R123" i="21"/>
  <c r="R225" i="21"/>
  <c r="R201" i="21"/>
  <c r="R65" i="21"/>
  <c r="R282" i="21"/>
  <c r="R40" i="21"/>
  <c r="R295" i="21"/>
  <c r="R122" i="21"/>
  <c r="R185" i="21"/>
  <c r="R129" i="21"/>
  <c r="R32" i="21"/>
  <c r="R104" i="21"/>
  <c r="R107" i="21"/>
  <c r="R47" i="21"/>
  <c r="R179" i="21"/>
  <c r="R167" i="21"/>
  <c r="R156" i="21"/>
  <c r="R233" i="21"/>
  <c r="R145" i="21"/>
  <c r="R153" i="21"/>
  <c r="R212" i="21"/>
  <c r="R228" i="21"/>
  <c r="R288" i="21"/>
  <c r="R200" i="21"/>
  <c r="R82" i="21"/>
  <c r="R52" i="21"/>
  <c r="R20" i="21"/>
  <c r="R77" i="21"/>
  <c r="R190" i="21"/>
  <c r="R178" i="21"/>
  <c r="R166" i="21"/>
  <c r="R155" i="21"/>
  <c r="R249" i="21"/>
  <c r="R58" i="21"/>
  <c r="R264" i="21"/>
  <c r="R188" i="21"/>
  <c r="R88" i="21"/>
  <c r="R173" i="21"/>
  <c r="R219" i="21"/>
  <c r="R98" i="21"/>
  <c r="R236" i="21"/>
  <c r="R245" i="21"/>
  <c r="R69" i="21"/>
  <c r="R287" i="21"/>
  <c r="R237" i="21"/>
  <c r="R57" i="21"/>
  <c r="R33" i="21"/>
  <c r="R141" i="21"/>
  <c r="R38" i="21"/>
  <c r="R70" i="21"/>
  <c r="R19" i="21"/>
  <c r="R37" i="21"/>
  <c r="R89" i="21"/>
  <c r="R42" i="21"/>
  <c r="R143" i="21"/>
  <c r="R293" i="21"/>
  <c r="R294" i="21"/>
  <c r="R300" i="21"/>
  <c r="R299" i="21"/>
  <c r="R274" i="21"/>
  <c r="R270" i="21"/>
  <c r="R268" i="21"/>
  <c r="R280" i="21"/>
  <c r="R269" i="21"/>
  <c r="R263" i="21"/>
  <c r="R275" i="21"/>
  <c r="R266" i="21"/>
  <c r="R279" i="21"/>
  <c r="R278" i="21"/>
  <c r="R271" i="21"/>
  <c r="R267" i="21"/>
  <c r="R265" i="21"/>
  <c r="R273" i="21"/>
  <c r="R272" i="21"/>
  <c r="R277" i="21"/>
  <c r="R258" i="21"/>
  <c r="R259" i="21"/>
  <c r="R235" i="21"/>
  <c r="R252" i="21"/>
  <c r="R246" i="21"/>
  <c r="R240" i="21"/>
  <c r="R234" i="21"/>
  <c r="R247" i="21"/>
  <c r="R241" i="21"/>
  <c r="R253" i="21"/>
  <c r="R226" i="21"/>
  <c r="R208" i="21"/>
  <c r="R207" i="21"/>
  <c r="R214" i="21"/>
  <c r="R202" i="21"/>
  <c r="R213" i="21"/>
  <c r="R220" i="21"/>
  <c r="R193" i="21"/>
  <c r="R192" i="21"/>
  <c r="R186" i="21"/>
  <c r="R180" i="21"/>
  <c r="R174" i="21"/>
  <c r="R168" i="21"/>
  <c r="R162" i="21"/>
  <c r="R157" i="21"/>
  <c r="R175" i="21"/>
  <c r="R158" i="21"/>
  <c r="R163" i="21"/>
  <c r="R169" i="21"/>
  <c r="R181" i="21"/>
  <c r="R187" i="21"/>
  <c r="R191" i="21"/>
  <c r="R149" i="21"/>
  <c r="R148" i="21"/>
  <c r="R142" i="21"/>
  <c r="R138" i="21"/>
  <c r="R127" i="21"/>
  <c r="R133" i="21"/>
  <c r="R112" i="21"/>
  <c r="R113" i="21"/>
  <c r="R114" i="21"/>
  <c r="R121" i="21"/>
  <c r="R118" i="21"/>
  <c r="R115" i="21"/>
  <c r="R119" i="21"/>
  <c r="R117" i="21"/>
  <c r="R116" i="21"/>
  <c r="R91" i="21"/>
  <c r="R67" i="21"/>
  <c r="R43" i="21"/>
  <c r="R102" i="21"/>
  <c r="R84" i="21"/>
  <c r="R48" i="21"/>
  <c r="R109" i="21"/>
  <c r="R85" i="21"/>
  <c r="R73" i="21"/>
  <c r="R49" i="21"/>
  <c r="R108" i="21"/>
  <c r="R90" i="21"/>
  <c r="R78" i="21"/>
  <c r="R66" i="21"/>
  <c r="R103" i="21"/>
  <c r="R79" i="21"/>
  <c r="R61" i="21"/>
  <c r="R96" i="21"/>
  <c r="R72" i="21"/>
  <c r="R97" i="21"/>
  <c r="R55" i="21"/>
  <c r="R60" i="21"/>
  <c r="R28" i="21"/>
  <c r="R27" i="21"/>
  <c r="R21" i="21"/>
  <c r="R22" i="21"/>
  <c r="R16" i="21"/>
  <c r="R13" i="21"/>
  <c r="R11" i="21"/>
  <c r="R15" i="21"/>
  <c r="R14" i="21"/>
  <c r="AD302" i="53"/>
  <c r="R8" i="21"/>
  <c r="Q302" i="21"/>
  <c r="R260" i="21"/>
  <c r="B1" i="59" l="1"/>
  <c r="F13" i="59"/>
  <c r="F12" i="59"/>
  <c r="AD6" i="53"/>
  <c r="Q7" i="21"/>
  <c r="AC6" i="53"/>
  <c r="P7" i="21"/>
  <c r="W6" i="53"/>
  <c r="R302" i="21"/>
  <c r="R6" i="21" s="1"/>
  <c r="E3" i="57"/>
  <c r="K109" i="9" l="1"/>
  <c r="K8" i="9"/>
  <c r="K9" i="9"/>
  <c r="K10" i="9"/>
  <c r="K11" i="9"/>
  <c r="K12" i="9"/>
  <c r="K13" i="9"/>
  <c r="K14" i="9"/>
  <c r="K15" i="9"/>
  <c r="K16" i="9"/>
  <c r="K17" i="9"/>
  <c r="K18" i="9"/>
  <c r="K19" i="9"/>
  <c r="K20" i="9"/>
  <c r="K21" i="9"/>
  <c r="K22" i="9"/>
  <c r="K23" i="9"/>
  <c r="K24" i="9"/>
  <c r="K25" i="9"/>
  <c r="K26" i="9"/>
  <c r="K27" i="9"/>
  <c r="K28" i="9"/>
  <c r="K29" i="9"/>
  <c r="K30" i="9"/>
  <c r="K31" i="9"/>
  <c r="K32" i="9"/>
  <c r="K33" i="9"/>
  <c r="K34" i="9"/>
  <c r="K35" i="9"/>
  <c r="K36" i="9"/>
  <c r="K37" i="9"/>
  <c r="K38" i="9"/>
  <c r="K39" i="9"/>
  <c r="K40" i="9"/>
  <c r="K41" i="9"/>
  <c r="K42" i="9"/>
  <c r="K43" i="9"/>
  <c r="K44" i="9"/>
  <c r="K45" i="9"/>
  <c r="K46" i="9"/>
  <c r="K47" i="9"/>
  <c r="K48" i="9"/>
  <c r="K49" i="9"/>
  <c r="K50" i="9"/>
  <c r="K51" i="9"/>
  <c r="K52" i="9"/>
  <c r="K53" i="9"/>
  <c r="K54" i="9"/>
  <c r="K55" i="9"/>
  <c r="K56" i="9"/>
  <c r="K57" i="9"/>
  <c r="K58" i="9"/>
  <c r="K59" i="9"/>
  <c r="K60" i="9"/>
  <c r="K61" i="9"/>
  <c r="K62" i="9"/>
  <c r="K63" i="9"/>
  <c r="K64" i="9"/>
  <c r="K65" i="9"/>
  <c r="K66" i="9"/>
  <c r="K67" i="9"/>
  <c r="K68" i="9"/>
  <c r="K69" i="9"/>
  <c r="K70" i="9"/>
  <c r="K71" i="9"/>
  <c r="K72" i="9"/>
  <c r="K73" i="9"/>
  <c r="K74" i="9"/>
  <c r="K75" i="9"/>
  <c r="K76" i="9"/>
  <c r="K77" i="9"/>
  <c r="K78" i="9"/>
  <c r="K79" i="9"/>
  <c r="K80" i="9"/>
  <c r="K81" i="9"/>
  <c r="K82" i="9"/>
  <c r="K83" i="9"/>
  <c r="K84" i="9"/>
  <c r="K85" i="9"/>
  <c r="K86" i="9"/>
  <c r="K87" i="9"/>
  <c r="K88" i="9"/>
  <c r="K89" i="9"/>
  <c r="K90" i="9"/>
  <c r="K91" i="9"/>
  <c r="K92" i="9"/>
  <c r="K93" i="9"/>
  <c r="K94" i="9"/>
  <c r="K95" i="9"/>
  <c r="K96" i="9"/>
  <c r="K97" i="9"/>
  <c r="K98" i="9"/>
  <c r="K99" i="9"/>
  <c r="K100" i="9"/>
  <c r="K101" i="9"/>
  <c r="K102" i="9"/>
  <c r="K103" i="9"/>
  <c r="K104" i="9"/>
  <c r="K105" i="9"/>
  <c r="K106" i="9"/>
  <c r="K107" i="9"/>
  <c r="K108" i="9"/>
  <c r="K110" i="9"/>
  <c r="K111" i="9"/>
  <c r="K112" i="9"/>
  <c r="K113" i="9"/>
  <c r="K114" i="9"/>
  <c r="K115" i="9"/>
  <c r="K116" i="9"/>
  <c r="K117" i="9"/>
  <c r="K118" i="9"/>
  <c r="K119" i="9"/>
  <c r="K120" i="9"/>
  <c r="K121" i="9"/>
  <c r="K122" i="9"/>
  <c r="K123" i="9"/>
  <c r="K124" i="9"/>
  <c r="K125" i="9"/>
  <c r="K126" i="9"/>
  <c r="K127" i="9"/>
  <c r="K128" i="9"/>
  <c r="K129" i="9"/>
  <c r="K130" i="9"/>
  <c r="K131" i="9"/>
  <c r="K132" i="9"/>
  <c r="K133" i="9"/>
  <c r="K134" i="9"/>
  <c r="K135" i="9"/>
  <c r="K136" i="9"/>
  <c r="K137" i="9"/>
  <c r="K138" i="9"/>
  <c r="K139" i="9"/>
  <c r="K140" i="9"/>
  <c r="K141" i="9"/>
  <c r="K142" i="9"/>
  <c r="K143" i="9"/>
  <c r="K144" i="9"/>
  <c r="K145" i="9"/>
  <c r="K146" i="9"/>
  <c r="K147" i="9"/>
  <c r="K148" i="9"/>
  <c r="K149" i="9"/>
  <c r="K150" i="9"/>
  <c r="K151" i="9"/>
  <c r="K152" i="9"/>
  <c r="K153" i="9"/>
  <c r="K154" i="9"/>
  <c r="K155" i="9"/>
  <c r="K156" i="9"/>
  <c r="K157" i="9"/>
  <c r="K158" i="9"/>
  <c r="K159" i="9"/>
  <c r="K160" i="9"/>
  <c r="K161" i="9"/>
  <c r="K162" i="9"/>
  <c r="K163" i="9"/>
  <c r="K164" i="9"/>
  <c r="K165" i="9"/>
  <c r="K166" i="9"/>
  <c r="K167" i="9"/>
  <c r="K168" i="9"/>
  <c r="K169" i="9"/>
  <c r="K170" i="9"/>
  <c r="K171" i="9"/>
  <c r="K172" i="9"/>
  <c r="K173" i="9"/>
  <c r="K174" i="9"/>
  <c r="K175" i="9"/>
  <c r="K176" i="9"/>
  <c r="K177" i="9"/>
  <c r="K178" i="9"/>
  <c r="K179" i="9"/>
  <c r="K180" i="9"/>
  <c r="K181" i="9"/>
  <c r="K182" i="9"/>
  <c r="K183" i="9"/>
  <c r="K184" i="9"/>
  <c r="K185" i="9"/>
  <c r="K186" i="9"/>
  <c r="K187" i="9"/>
  <c r="K188" i="9"/>
  <c r="K189" i="9"/>
  <c r="K190" i="9"/>
  <c r="K191" i="9"/>
  <c r="K192" i="9"/>
  <c r="K193" i="9"/>
  <c r="K194" i="9"/>
  <c r="K195" i="9"/>
  <c r="K196" i="9"/>
  <c r="K197" i="9"/>
  <c r="K198" i="9"/>
  <c r="K199" i="9"/>
  <c r="K200" i="9"/>
  <c r="K201" i="9"/>
  <c r="K202" i="9"/>
  <c r="K203" i="9"/>
  <c r="K204" i="9"/>
  <c r="K205" i="9"/>
  <c r="K206" i="9"/>
  <c r="K207" i="9"/>
  <c r="K208" i="9"/>
  <c r="K209" i="9"/>
  <c r="K210" i="9"/>
  <c r="K211" i="9"/>
  <c r="K212" i="9"/>
  <c r="K213" i="9"/>
  <c r="K214" i="9"/>
  <c r="K215" i="9"/>
  <c r="K216" i="9"/>
  <c r="K217" i="9"/>
  <c r="K218" i="9"/>
  <c r="K219" i="9"/>
  <c r="K220" i="9"/>
  <c r="K221" i="9"/>
  <c r="K222" i="9"/>
  <c r="K223" i="9"/>
  <c r="K224" i="9"/>
  <c r="K225" i="9"/>
  <c r="K226" i="9"/>
  <c r="K227" i="9"/>
  <c r="K228" i="9"/>
  <c r="K229" i="9"/>
  <c r="K230" i="9"/>
  <c r="K231" i="9"/>
  <c r="K232" i="9"/>
  <c r="K233" i="9"/>
  <c r="K234" i="9"/>
  <c r="K235" i="9"/>
  <c r="K236" i="9"/>
  <c r="K237" i="9"/>
  <c r="K238" i="9"/>
  <c r="K239" i="9"/>
  <c r="K240" i="9"/>
  <c r="K241" i="9"/>
  <c r="K242" i="9"/>
  <c r="K243" i="9"/>
  <c r="K244" i="9"/>
  <c r="K245" i="9"/>
  <c r="K246" i="9"/>
  <c r="K247" i="9"/>
  <c r="K248" i="9"/>
  <c r="K249" i="9"/>
  <c r="K250" i="9"/>
  <c r="K251" i="9"/>
  <c r="K252" i="9"/>
  <c r="K253" i="9"/>
  <c r="K254" i="9"/>
  <c r="K255" i="9"/>
  <c r="K256" i="9"/>
  <c r="K257" i="9"/>
  <c r="K258" i="9"/>
  <c r="K259" i="9"/>
  <c r="K260" i="9"/>
  <c r="K261" i="9"/>
  <c r="K262" i="9"/>
  <c r="K263" i="9"/>
  <c r="K264" i="9"/>
  <c r="K265" i="9"/>
  <c r="K266" i="9"/>
  <c r="K267" i="9"/>
  <c r="K268" i="9"/>
  <c r="K269" i="9"/>
  <c r="K270" i="9"/>
  <c r="K271" i="9"/>
  <c r="K272" i="9"/>
  <c r="K273" i="9"/>
  <c r="K274" i="9"/>
  <c r="K275" i="9"/>
  <c r="K276" i="9"/>
  <c r="K277" i="9"/>
  <c r="K278" i="9"/>
  <c r="K279" i="9"/>
  <c r="K280" i="9"/>
  <c r="K281" i="9"/>
  <c r="K282" i="9"/>
  <c r="K283" i="9"/>
  <c r="K284" i="9"/>
  <c r="K285" i="9"/>
  <c r="K286" i="9"/>
  <c r="K287" i="9"/>
  <c r="K288" i="9"/>
  <c r="K289" i="9"/>
  <c r="K290" i="9"/>
  <c r="K291" i="9"/>
  <c r="K292" i="9"/>
  <c r="K293" i="9"/>
  <c r="K294" i="9"/>
  <c r="K295" i="9"/>
  <c r="K296" i="9"/>
  <c r="K297" i="9"/>
  <c r="K298" i="9"/>
  <c r="K299" i="9"/>
  <c r="K300" i="9"/>
  <c r="K301" i="9"/>
  <c r="M8" i="29" l="1"/>
  <c r="T8" i="29" s="1"/>
  <c r="S5" i="29"/>
  <c r="R5" i="29"/>
  <c r="R4" i="29"/>
  <c r="M10" i="29" l="1"/>
  <c r="T10" i="29" s="1"/>
  <c r="A2" i="29"/>
  <c r="K16" i="50" l="1"/>
  <c r="K12" i="50" s="1"/>
  <c r="A250" i="55" l="1"/>
  <c r="A2" i="55" l="1"/>
  <c r="B1" i="57" s="1"/>
  <c r="A2" i="4"/>
  <c r="A2" i="21"/>
  <c r="A2" i="9"/>
  <c r="A2" i="3"/>
  <c r="A2" i="2"/>
  <c r="A2" i="53"/>
  <c r="X6" i="53"/>
  <c r="T2" i="45"/>
  <c r="B27" i="45"/>
  <c r="C4" i="45"/>
  <c r="P6" i="3" l="1"/>
  <c r="O6" i="3"/>
  <c r="N6" i="3"/>
  <c r="Q6" i="3"/>
  <c r="N5" i="55" l="1"/>
  <c r="N3" i="9" l="1"/>
  <c r="AB6" i="53" l="1"/>
  <c r="AA6" i="53"/>
  <c r="C6" i="53"/>
  <c r="P6" i="21"/>
  <c r="F5" i="21"/>
  <c r="E6" i="29"/>
  <c r="F6" i="29"/>
  <c r="G6" i="29"/>
  <c r="H6" i="29"/>
  <c r="I6" i="29"/>
  <c r="J6" i="29"/>
  <c r="K6" i="29"/>
  <c r="D6" i="29"/>
  <c r="K4" i="29"/>
  <c r="E4" i="29"/>
  <c r="F4" i="29"/>
  <c r="G4" i="29"/>
  <c r="H4" i="29"/>
  <c r="I4" i="29"/>
  <c r="J4" i="29"/>
  <c r="E5" i="29"/>
  <c r="F5" i="29"/>
  <c r="G5" i="29"/>
  <c r="H5" i="29"/>
  <c r="I5" i="29"/>
  <c r="J5" i="29"/>
  <c r="D5" i="29"/>
  <c r="D4" i="29"/>
  <c r="S297" i="21" l="1"/>
  <c r="S23" i="21"/>
  <c r="S189" i="21"/>
  <c r="S100" i="21"/>
  <c r="S56" i="21"/>
  <c r="S87" i="21"/>
  <c r="S221" i="21"/>
  <c r="S63" i="21"/>
  <c r="S243" i="21"/>
  <c r="S210" i="21"/>
  <c r="S131" i="21"/>
  <c r="S139" i="21"/>
  <c r="S51" i="21"/>
  <c r="S125" i="21"/>
  <c r="S92" i="21"/>
  <c r="S44" i="21"/>
  <c r="S136" i="21"/>
  <c r="S177" i="21"/>
  <c r="S10" i="21"/>
  <c r="S9" i="21"/>
  <c r="S75" i="21"/>
  <c r="S197" i="21"/>
  <c r="S53" i="21"/>
  <c r="S215" i="21"/>
  <c r="S154" i="21"/>
  <c r="S83" i="21"/>
  <c r="S290" i="21"/>
  <c r="S301" i="21"/>
  <c r="S101" i="21"/>
  <c r="S81" i="21"/>
  <c r="S12" i="21"/>
  <c r="S93" i="21"/>
  <c r="S150" i="21"/>
  <c r="S296" i="21"/>
  <c r="S59" i="21"/>
  <c r="S29" i="21"/>
  <c r="S165" i="21"/>
  <c r="S281" i="21"/>
  <c r="S132" i="21"/>
  <c r="S94" i="21"/>
  <c r="S35" i="21"/>
  <c r="S289" i="21"/>
  <c r="S256" i="21"/>
  <c r="S41" i="21"/>
  <c r="S291" i="21"/>
  <c r="S283" i="21"/>
  <c r="S229" i="21"/>
  <c r="S124" i="21"/>
  <c r="S284" i="21"/>
  <c r="S230" i="21"/>
  <c r="S126" i="21"/>
  <c r="S194" i="21"/>
  <c r="S120" i="21"/>
  <c r="S45" i="21"/>
  <c r="S25" i="21"/>
  <c r="S223" i="21"/>
  <c r="S196" i="21"/>
  <c r="S182" i="21"/>
  <c r="S26" i="21"/>
  <c r="S239" i="21"/>
  <c r="S160" i="21"/>
  <c r="S222" i="21"/>
  <c r="S146" i="21"/>
  <c r="S205" i="21"/>
  <c r="S232" i="21"/>
  <c r="S254" i="21"/>
  <c r="S140" i="21"/>
  <c r="S54" i="21"/>
  <c r="S62" i="21"/>
  <c r="S36" i="21"/>
  <c r="S152" i="21"/>
  <c r="S147" i="21"/>
  <c r="S199" i="21"/>
  <c r="S184" i="21"/>
  <c r="S105" i="21"/>
  <c r="S198" i="21"/>
  <c r="S39" i="21"/>
  <c r="S34" i="21"/>
  <c r="S216" i="21"/>
  <c r="S242" i="21"/>
  <c r="S206" i="21"/>
  <c r="S224" i="21"/>
  <c r="S71" i="21"/>
  <c r="S30" i="21"/>
  <c r="S135" i="21"/>
  <c r="S209" i="21"/>
  <c r="S111" i="21"/>
  <c r="S172" i="21"/>
  <c r="S68" i="21"/>
  <c r="S261" i="21"/>
  <c r="S217" i="21"/>
  <c r="S99" i="21"/>
  <c r="S170" i="21"/>
  <c r="S276" i="21"/>
  <c r="S80" i="21"/>
  <c r="S251" i="21"/>
  <c r="S231" i="21"/>
  <c r="S250" i="21"/>
  <c r="S292" i="21"/>
  <c r="S24" i="21"/>
  <c r="S137" i="21"/>
  <c r="S128" i="21"/>
  <c r="S285" i="21"/>
  <c r="S262" i="21"/>
  <c r="S74" i="21"/>
  <c r="S78" i="21"/>
  <c r="S66" i="21"/>
  <c r="S265" i="21"/>
  <c r="S129" i="21"/>
  <c r="S123" i="21"/>
  <c r="S158" i="21"/>
  <c r="S219" i="21"/>
  <c r="S244" i="21"/>
  <c r="S121" i="21"/>
  <c r="S42" i="21"/>
  <c r="S238" i="21"/>
  <c r="S227" i="21"/>
  <c r="S157" i="21"/>
  <c r="S88" i="21"/>
  <c r="S113" i="21"/>
  <c r="S37" i="21"/>
  <c r="S151" i="21"/>
  <c r="S79" i="21"/>
  <c r="S272" i="21"/>
  <c r="S104" i="21"/>
  <c r="S86" i="21"/>
  <c r="S174" i="21"/>
  <c r="S58" i="21"/>
  <c r="S144" i="21"/>
  <c r="S300" i="21"/>
  <c r="S240" i="21"/>
  <c r="S212" i="21"/>
  <c r="S195" i="21"/>
  <c r="S274" i="21"/>
  <c r="S107" i="21"/>
  <c r="S76" i="21"/>
  <c r="S278" i="21"/>
  <c r="S298" i="21"/>
  <c r="S138" i="21"/>
  <c r="S246" i="21"/>
  <c r="S211" i="21"/>
  <c r="S299" i="21"/>
  <c r="S245" i="21"/>
  <c r="S186" i="21"/>
  <c r="S48" i="21"/>
  <c r="S269" i="21"/>
  <c r="S225" i="21"/>
  <c r="S260" i="21"/>
  <c r="S192" i="21"/>
  <c r="S155" i="21"/>
  <c r="S110" i="21"/>
  <c r="S148" i="21"/>
  <c r="S57" i="21"/>
  <c r="S159" i="21"/>
  <c r="S8" i="21"/>
  <c r="S220" i="21"/>
  <c r="S178" i="21"/>
  <c r="S18" i="21"/>
  <c r="S191" i="21"/>
  <c r="S287" i="21"/>
  <c r="S183" i="21"/>
  <c r="S85" i="21"/>
  <c r="S275" i="21"/>
  <c r="S65" i="21"/>
  <c r="S15" i="21"/>
  <c r="S214" i="21"/>
  <c r="S20" i="21"/>
  <c r="S280" i="21"/>
  <c r="S119" i="21"/>
  <c r="S294" i="21"/>
  <c r="S164" i="21"/>
  <c r="S16" i="21"/>
  <c r="S226" i="21"/>
  <c r="S200" i="21"/>
  <c r="S13" i="21"/>
  <c r="S175" i="21"/>
  <c r="S173" i="21"/>
  <c r="S255" i="21"/>
  <c r="S21" i="21"/>
  <c r="S241" i="21"/>
  <c r="S228" i="21"/>
  <c r="S163" i="21"/>
  <c r="S162" i="21"/>
  <c r="S188" i="21"/>
  <c r="S106" i="21"/>
  <c r="S116" i="21"/>
  <c r="S17" i="21"/>
  <c r="S145" i="21"/>
  <c r="S187" i="21"/>
  <c r="S201" i="21"/>
  <c r="S61" i="21"/>
  <c r="S264" i="21"/>
  <c r="S161" i="21"/>
  <c r="S141" i="21"/>
  <c r="S14" i="21"/>
  <c r="S31" i="21"/>
  <c r="S33" i="21"/>
  <c r="S134" i="21"/>
  <c r="S149" i="21"/>
  <c r="S91" i="21"/>
  <c r="S293" i="21"/>
  <c r="S82" i="21"/>
  <c r="S127" i="21"/>
  <c r="S38" i="21"/>
  <c r="S64" i="21"/>
  <c r="S97" i="21"/>
  <c r="S235" i="21"/>
  <c r="S167" i="21"/>
  <c r="S98" i="21"/>
  <c r="S193" i="21"/>
  <c r="S166" i="21"/>
  <c r="S176" i="21"/>
  <c r="S96" i="21"/>
  <c r="S258" i="21"/>
  <c r="S47" i="21"/>
  <c r="S213" i="21"/>
  <c r="S190" i="21"/>
  <c r="S55" i="21"/>
  <c r="S112" i="21"/>
  <c r="S19" i="21"/>
  <c r="S95" i="21"/>
  <c r="S103" i="21"/>
  <c r="S273" i="21"/>
  <c r="S32" i="21"/>
  <c r="S69" i="21"/>
  <c r="S263" i="21"/>
  <c r="S204" i="21"/>
  <c r="S168" i="21"/>
  <c r="S117" i="21"/>
  <c r="S295" i="21"/>
  <c r="S266" i="21"/>
  <c r="S133" i="21"/>
  <c r="S60" i="21"/>
  <c r="S156" i="21"/>
  <c r="S234" i="21"/>
  <c r="S50" i="21"/>
  <c r="S169" i="21"/>
  <c r="S236" i="21"/>
  <c r="S218" i="21"/>
  <c r="S90" i="21"/>
  <c r="S271" i="21"/>
  <c r="S122" i="21"/>
  <c r="S22" i="21"/>
  <c r="S253" i="21"/>
  <c r="S288" i="21"/>
  <c r="S115" i="21"/>
  <c r="S49" i="21"/>
  <c r="S279" i="21"/>
  <c r="S40" i="21"/>
  <c r="S27" i="21"/>
  <c r="S247" i="21"/>
  <c r="S208" i="21"/>
  <c r="S109" i="21"/>
  <c r="S252" i="21"/>
  <c r="S185" i="21"/>
  <c r="S114" i="21"/>
  <c r="S73" i="21"/>
  <c r="S202" i="21"/>
  <c r="S233" i="21"/>
  <c r="S270" i="21"/>
  <c r="S286" i="21"/>
  <c r="S203" i="21"/>
  <c r="S257" i="21"/>
  <c r="S180" i="21"/>
  <c r="S249" i="21"/>
  <c r="S248" i="21"/>
  <c r="S102" i="21"/>
  <c r="S268" i="21"/>
  <c r="S46" i="21"/>
  <c r="S72" i="21"/>
  <c r="S259" i="21"/>
  <c r="S179" i="21"/>
  <c r="S67" i="21"/>
  <c r="S277" i="21"/>
  <c r="S282" i="21"/>
  <c r="S70" i="21"/>
  <c r="S267" i="21"/>
  <c r="S237" i="21"/>
  <c r="S153" i="21"/>
  <c r="S11" i="21"/>
  <c r="S207" i="21"/>
  <c r="S52" i="21"/>
  <c r="S84" i="21"/>
  <c r="S118" i="21"/>
  <c r="S143" i="21"/>
  <c r="S130" i="21"/>
  <c r="S108" i="21"/>
  <c r="S89" i="21"/>
  <c r="S77" i="21"/>
  <c r="S142" i="21"/>
  <c r="S43" i="21"/>
  <c r="S171" i="21"/>
  <c r="S28" i="21"/>
  <c r="S181" i="21"/>
  <c r="O9" i="29"/>
  <c r="P9" i="29"/>
  <c r="O16" i="29"/>
  <c r="P16" i="29"/>
  <c r="O106" i="29"/>
  <c r="P106" i="29"/>
  <c r="O108" i="29"/>
  <c r="P108" i="29"/>
  <c r="O111" i="29"/>
  <c r="P111" i="29"/>
  <c r="O113" i="29"/>
  <c r="P113" i="29"/>
  <c r="O114" i="29"/>
  <c r="P114" i="29"/>
  <c r="O115" i="29"/>
  <c r="P115" i="29"/>
  <c r="O116" i="29"/>
  <c r="P116" i="29"/>
  <c r="O118" i="29"/>
  <c r="P118" i="29"/>
  <c r="O120" i="29"/>
  <c r="P120" i="29"/>
  <c r="O121" i="29"/>
  <c r="P121" i="29"/>
  <c r="O122" i="29"/>
  <c r="P122" i="29"/>
  <c r="O123" i="29"/>
  <c r="P123" i="29"/>
  <c r="O124" i="29"/>
  <c r="P124" i="29"/>
  <c r="O125" i="29"/>
  <c r="P125" i="29"/>
  <c r="O128" i="29"/>
  <c r="P128" i="29"/>
  <c r="O129" i="29"/>
  <c r="P129" i="29"/>
  <c r="O130" i="29"/>
  <c r="P130" i="29"/>
  <c r="O137" i="29"/>
  <c r="P137" i="29"/>
  <c r="O142" i="29"/>
  <c r="P142" i="29"/>
  <c r="O143" i="29"/>
  <c r="P143" i="29"/>
  <c r="O144" i="29"/>
  <c r="P144" i="29"/>
  <c r="O146" i="29"/>
  <c r="P146" i="29"/>
  <c r="O147" i="29"/>
  <c r="P147" i="29"/>
  <c r="O148" i="29"/>
  <c r="P148" i="29"/>
  <c r="O150" i="29"/>
  <c r="P150" i="29"/>
  <c r="O183" i="29"/>
  <c r="P183" i="29"/>
  <c r="O194" i="29"/>
  <c r="P194" i="29"/>
  <c r="O195" i="29"/>
  <c r="P195" i="29"/>
  <c r="O264" i="29"/>
  <c r="P264" i="29"/>
  <c r="O265" i="29"/>
  <c r="P265" i="29"/>
  <c r="O266" i="29"/>
  <c r="P266" i="29"/>
  <c r="O267" i="29"/>
  <c r="P267" i="29"/>
  <c r="O268" i="29"/>
  <c r="P268" i="29"/>
  <c r="O269" i="29"/>
  <c r="P269" i="29"/>
  <c r="O270" i="29"/>
  <c r="P270" i="29"/>
  <c r="O271" i="29"/>
  <c r="P271" i="29"/>
  <c r="O272" i="29"/>
  <c r="P272" i="29"/>
  <c r="O275" i="29"/>
  <c r="P275" i="29"/>
  <c r="O279" i="29"/>
  <c r="P279" i="29"/>
  <c r="O284" i="29"/>
  <c r="P284" i="29"/>
  <c r="O285" i="29"/>
  <c r="P285" i="29"/>
  <c r="O291" i="29"/>
  <c r="P291" i="29"/>
  <c r="O293" i="29"/>
  <c r="P293" i="29"/>
  <c r="O294" i="29"/>
  <c r="P294" i="29"/>
  <c r="O300" i="29"/>
  <c r="P300" i="29"/>
  <c r="N302" i="29"/>
  <c r="L9" i="9"/>
  <c r="L10" i="9"/>
  <c r="L11" i="9"/>
  <c r="L12" i="9"/>
  <c r="L13" i="9"/>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128" i="9"/>
  <c r="L129" i="9"/>
  <c r="L130" i="9"/>
  <c r="L131" i="9"/>
  <c r="L132" i="9"/>
  <c r="L133" i="9"/>
  <c r="L134" i="9"/>
  <c r="L135" i="9"/>
  <c r="L136" i="9"/>
  <c r="L137" i="9"/>
  <c r="L138" i="9"/>
  <c r="L139" i="9"/>
  <c r="L140" i="9"/>
  <c r="L141" i="9"/>
  <c r="L142" i="9"/>
  <c r="L143" i="9"/>
  <c r="L144" i="9"/>
  <c r="L145" i="9"/>
  <c r="L146" i="9"/>
  <c r="L147" i="9"/>
  <c r="L148" i="9"/>
  <c r="L149" i="9"/>
  <c r="L150" i="9"/>
  <c r="L151" i="9"/>
  <c r="L152" i="9"/>
  <c r="L153" i="9"/>
  <c r="L154" i="9"/>
  <c r="L155" i="9"/>
  <c r="L156" i="9"/>
  <c r="L157" i="9"/>
  <c r="L158" i="9"/>
  <c r="L159" i="9"/>
  <c r="L160" i="9"/>
  <c r="L161" i="9"/>
  <c r="L162" i="9"/>
  <c r="L163" i="9"/>
  <c r="L164" i="9"/>
  <c r="L165" i="9"/>
  <c r="L166" i="9"/>
  <c r="L167" i="9"/>
  <c r="L168" i="9"/>
  <c r="L169" i="9"/>
  <c r="L170" i="9"/>
  <c r="L171" i="9"/>
  <c r="L172" i="9"/>
  <c r="L173" i="9"/>
  <c r="L174" i="9"/>
  <c r="L175" i="9"/>
  <c r="L176" i="9"/>
  <c r="L177" i="9"/>
  <c r="L178" i="9"/>
  <c r="L179" i="9"/>
  <c r="L180" i="9"/>
  <c r="L181" i="9"/>
  <c r="L182" i="9"/>
  <c r="L183" i="9"/>
  <c r="L184" i="9"/>
  <c r="L185" i="9"/>
  <c r="L186" i="9"/>
  <c r="L187" i="9"/>
  <c r="L188" i="9"/>
  <c r="L189" i="9"/>
  <c r="L190" i="9"/>
  <c r="L191" i="9"/>
  <c r="L192" i="9"/>
  <c r="L193" i="9"/>
  <c r="L194" i="9"/>
  <c r="L195" i="9"/>
  <c r="L196" i="9"/>
  <c r="L197" i="9"/>
  <c r="L198" i="9"/>
  <c r="L199" i="9"/>
  <c r="L200" i="9"/>
  <c r="L201" i="9"/>
  <c r="L202" i="9"/>
  <c r="L203" i="9"/>
  <c r="L204" i="9"/>
  <c r="L205" i="9"/>
  <c r="L206" i="9"/>
  <c r="L207" i="9"/>
  <c r="L208" i="9"/>
  <c r="L209" i="9"/>
  <c r="L210" i="9"/>
  <c r="L211" i="9"/>
  <c r="L212" i="9"/>
  <c r="L213" i="9"/>
  <c r="L214" i="9"/>
  <c r="L215" i="9"/>
  <c r="L216" i="9"/>
  <c r="L217" i="9"/>
  <c r="L218" i="9"/>
  <c r="L219" i="9"/>
  <c r="L220" i="9"/>
  <c r="L221" i="9"/>
  <c r="L222" i="9"/>
  <c r="L223" i="9"/>
  <c r="L224" i="9"/>
  <c r="L225" i="9"/>
  <c r="L226" i="9"/>
  <c r="L227" i="9"/>
  <c r="L228" i="9"/>
  <c r="L229" i="9"/>
  <c r="L230" i="9"/>
  <c r="L231" i="9"/>
  <c r="L232" i="9"/>
  <c r="L233" i="9"/>
  <c r="L234" i="9"/>
  <c r="L235" i="9"/>
  <c r="L236" i="9"/>
  <c r="L237" i="9"/>
  <c r="L238" i="9"/>
  <c r="L239" i="9"/>
  <c r="L240" i="9"/>
  <c r="L241" i="9"/>
  <c r="L242" i="9"/>
  <c r="L243" i="9"/>
  <c r="L244" i="9"/>
  <c r="L245" i="9"/>
  <c r="L246" i="9"/>
  <c r="L247" i="9"/>
  <c r="L248" i="9"/>
  <c r="L249" i="9"/>
  <c r="L250" i="9"/>
  <c r="L251" i="9"/>
  <c r="L252" i="9"/>
  <c r="L253" i="9"/>
  <c r="L254" i="9"/>
  <c r="L255" i="9"/>
  <c r="L256" i="9"/>
  <c r="L257" i="9"/>
  <c r="L258" i="9"/>
  <c r="L259" i="9"/>
  <c r="L260" i="9"/>
  <c r="L261" i="9"/>
  <c r="L262" i="9"/>
  <c r="L263" i="9"/>
  <c r="L264" i="9"/>
  <c r="L265" i="9"/>
  <c r="L266" i="9"/>
  <c r="L267" i="9"/>
  <c r="L268" i="9"/>
  <c r="L269" i="9"/>
  <c r="L270" i="9"/>
  <c r="L271" i="9"/>
  <c r="L272" i="9"/>
  <c r="L273" i="9"/>
  <c r="L274" i="9"/>
  <c r="L275" i="9"/>
  <c r="L276" i="9"/>
  <c r="L277" i="9"/>
  <c r="L278" i="9"/>
  <c r="L279" i="9"/>
  <c r="L280" i="9"/>
  <c r="L281" i="9"/>
  <c r="L282" i="9"/>
  <c r="L283" i="9"/>
  <c r="L284" i="9"/>
  <c r="L285" i="9"/>
  <c r="L286" i="9"/>
  <c r="L287" i="9"/>
  <c r="L288" i="9"/>
  <c r="L289" i="9"/>
  <c r="L290" i="9"/>
  <c r="L291" i="9"/>
  <c r="L292" i="9"/>
  <c r="L293" i="9"/>
  <c r="L294" i="9"/>
  <c r="L295" i="9"/>
  <c r="L296" i="9"/>
  <c r="L297" i="9"/>
  <c r="L298" i="9"/>
  <c r="L299" i="9"/>
  <c r="L300" i="9"/>
  <c r="L301" i="9"/>
  <c r="L8" i="9"/>
  <c r="E9" i="9"/>
  <c r="E10" i="9"/>
  <c r="E12" i="9"/>
  <c r="E13" i="9"/>
  <c r="E14" i="9"/>
  <c r="E15" i="9"/>
  <c r="E16" i="9"/>
  <c r="E17" i="9"/>
  <c r="E18" i="9"/>
  <c r="E19" i="9"/>
  <c r="E20" i="9"/>
  <c r="E21" i="9"/>
  <c r="E22" i="9"/>
  <c r="E23" i="9"/>
  <c r="E24" i="9"/>
  <c r="E25" i="9"/>
  <c r="E26" i="9"/>
  <c r="E27" i="9"/>
  <c r="E28" i="9"/>
  <c r="E29" i="9"/>
  <c r="E30" i="9"/>
  <c r="E31" i="9"/>
  <c r="E32" i="9"/>
  <c r="E33" i="9"/>
  <c r="E34" i="9"/>
  <c r="E35" i="9"/>
  <c r="E36" i="9"/>
  <c r="E37" i="9"/>
  <c r="E38" i="9"/>
  <c r="E39" i="9"/>
  <c r="E40" i="9"/>
  <c r="E41" i="9"/>
  <c r="E42" i="9"/>
  <c r="E43" i="9"/>
  <c r="E44" i="9"/>
  <c r="E45" i="9"/>
  <c r="E46" i="9"/>
  <c r="E47" i="9"/>
  <c r="E48" i="9"/>
  <c r="E49" i="9"/>
  <c r="E50" i="9"/>
  <c r="E51" i="9"/>
  <c r="E52" i="9"/>
  <c r="E53" i="9"/>
  <c r="E54" i="9"/>
  <c r="E55" i="9"/>
  <c r="E56" i="9"/>
  <c r="E57" i="9"/>
  <c r="E58" i="9"/>
  <c r="E59" i="9"/>
  <c r="E60" i="9"/>
  <c r="E61" i="9"/>
  <c r="E62" i="9"/>
  <c r="E63" i="9"/>
  <c r="E64" i="9"/>
  <c r="E65" i="9"/>
  <c r="E66" i="9"/>
  <c r="E67" i="9"/>
  <c r="E68" i="9"/>
  <c r="E69" i="9"/>
  <c r="E70" i="9"/>
  <c r="E71" i="9"/>
  <c r="E72" i="9"/>
  <c r="E73" i="9"/>
  <c r="E74" i="9"/>
  <c r="E75" i="9"/>
  <c r="E76" i="9"/>
  <c r="E77" i="9"/>
  <c r="E78" i="9"/>
  <c r="E79" i="9"/>
  <c r="E80" i="9"/>
  <c r="E81" i="9"/>
  <c r="E82" i="9"/>
  <c r="E83" i="9"/>
  <c r="E84" i="9"/>
  <c r="E85" i="9"/>
  <c r="E86" i="9"/>
  <c r="E87" i="9"/>
  <c r="E88" i="9"/>
  <c r="E89" i="9"/>
  <c r="E90" i="9"/>
  <c r="E91" i="9"/>
  <c r="E92" i="9"/>
  <c r="E93" i="9"/>
  <c r="E94" i="9"/>
  <c r="E95" i="9"/>
  <c r="E96" i="9"/>
  <c r="E97" i="9"/>
  <c r="E98" i="9"/>
  <c r="E99" i="9"/>
  <c r="E100" i="9"/>
  <c r="E101" i="9"/>
  <c r="E102" i="9"/>
  <c r="E103" i="9"/>
  <c r="E104" i="9"/>
  <c r="E105" i="9"/>
  <c r="E106" i="9"/>
  <c r="E107" i="9"/>
  <c r="E108" i="9"/>
  <c r="E109" i="9"/>
  <c r="E110" i="9"/>
  <c r="E111" i="9"/>
  <c r="E112" i="9"/>
  <c r="E113" i="9"/>
  <c r="E114" i="9"/>
  <c r="E115" i="9"/>
  <c r="E116" i="9"/>
  <c r="E117" i="9"/>
  <c r="E118" i="9"/>
  <c r="E119" i="9"/>
  <c r="E120" i="9"/>
  <c r="E121" i="9"/>
  <c r="E122" i="9"/>
  <c r="E123" i="9"/>
  <c r="E124" i="9"/>
  <c r="E125" i="9"/>
  <c r="E126" i="9"/>
  <c r="E127" i="9"/>
  <c r="E128" i="9"/>
  <c r="E129" i="9"/>
  <c r="E130" i="9"/>
  <c r="E131" i="9"/>
  <c r="E132" i="9"/>
  <c r="E133" i="9"/>
  <c r="E134" i="9"/>
  <c r="E135" i="9"/>
  <c r="E136" i="9"/>
  <c r="E137" i="9"/>
  <c r="E138" i="9"/>
  <c r="E139" i="9"/>
  <c r="E140" i="9"/>
  <c r="E141" i="9"/>
  <c r="E142" i="9"/>
  <c r="E143" i="9"/>
  <c r="E144" i="9"/>
  <c r="E145" i="9"/>
  <c r="E146" i="9"/>
  <c r="E147" i="9"/>
  <c r="E148" i="9"/>
  <c r="E149" i="9"/>
  <c r="E150" i="9"/>
  <c r="E151" i="9"/>
  <c r="E152" i="9"/>
  <c r="E153" i="9"/>
  <c r="E154" i="9"/>
  <c r="E155" i="9"/>
  <c r="E156" i="9"/>
  <c r="E157" i="9"/>
  <c r="E158" i="9"/>
  <c r="E159" i="9"/>
  <c r="E160" i="9"/>
  <c r="E161" i="9"/>
  <c r="E162" i="9"/>
  <c r="E163" i="9"/>
  <c r="E164" i="9"/>
  <c r="E165" i="9"/>
  <c r="E166" i="9"/>
  <c r="E167" i="9"/>
  <c r="E168" i="9"/>
  <c r="E169" i="9"/>
  <c r="E170" i="9"/>
  <c r="E171" i="9"/>
  <c r="E172" i="9"/>
  <c r="E173" i="9"/>
  <c r="E174" i="9"/>
  <c r="E175" i="9"/>
  <c r="E176" i="9"/>
  <c r="E177" i="9"/>
  <c r="E178" i="9"/>
  <c r="E179" i="9"/>
  <c r="E180" i="9"/>
  <c r="E181" i="9"/>
  <c r="E182" i="9"/>
  <c r="E183" i="9"/>
  <c r="E184" i="9"/>
  <c r="E185" i="9"/>
  <c r="E186" i="9"/>
  <c r="E187" i="9"/>
  <c r="E188" i="9"/>
  <c r="E189" i="9"/>
  <c r="E190" i="9"/>
  <c r="E191" i="9"/>
  <c r="E192" i="9"/>
  <c r="E193" i="9"/>
  <c r="E194" i="9"/>
  <c r="E195" i="9"/>
  <c r="E196" i="9"/>
  <c r="E197" i="9"/>
  <c r="E198" i="9"/>
  <c r="E199" i="9"/>
  <c r="E200" i="9"/>
  <c r="E201" i="9"/>
  <c r="E202" i="9"/>
  <c r="E203" i="9"/>
  <c r="E204" i="9"/>
  <c r="E205" i="9"/>
  <c r="E206" i="9"/>
  <c r="E208" i="9"/>
  <c r="E209" i="9"/>
  <c r="E210" i="9"/>
  <c r="E211" i="9"/>
  <c r="E212" i="9"/>
  <c r="E213" i="9"/>
  <c r="E214" i="9"/>
  <c r="E215" i="9"/>
  <c r="E216" i="9"/>
  <c r="E217" i="9"/>
  <c r="E218" i="9"/>
  <c r="E219" i="9"/>
  <c r="E220" i="9"/>
  <c r="E221" i="9"/>
  <c r="E222" i="9"/>
  <c r="E223" i="9"/>
  <c r="E224" i="9"/>
  <c r="E225" i="9"/>
  <c r="E226" i="9"/>
  <c r="E227" i="9"/>
  <c r="E228" i="9"/>
  <c r="E229" i="9"/>
  <c r="E230" i="9"/>
  <c r="E231" i="9"/>
  <c r="E232" i="9"/>
  <c r="E233" i="9"/>
  <c r="E234" i="9"/>
  <c r="E235" i="9"/>
  <c r="E236" i="9"/>
  <c r="E237" i="9"/>
  <c r="E238" i="9"/>
  <c r="E239" i="9"/>
  <c r="E240" i="9"/>
  <c r="E241" i="9"/>
  <c r="E242" i="9"/>
  <c r="E243" i="9"/>
  <c r="E244" i="9"/>
  <c r="E245" i="9"/>
  <c r="E248" i="9"/>
  <c r="E249" i="9"/>
  <c r="E250" i="9"/>
  <c r="E251" i="9"/>
  <c r="E252" i="9"/>
  <c r="E253" i="9"/>
  <c r="E254" i="9"/>
  <c r="E255" i="9"/>
  <c r="E256" i="9"/>
  <c r="E257" i="9"/>
  <c r="E258" i="9"/>
  <c r="E259" i="9"/>
  <c r="E260" i="9"/>
  <c r="E261" i="9"/>
  <c r="E262" i="9"/>
  <c r="E263" i="9"/>
  <c r="E264" i="9"/>
  <c r="E265" i="9"/>
  <c r="E266" i="9"/>
  <c r="E267" i="9"/>
  <c r="E268" i="9"/>
  <c r="E269" i="9"/>
  <c r="E270" i="9"/>
  <c r="E271" i="9"/>
  <c r="E272" i="9"/>
  <c r="E273" i="9"/>
  <c r="E274" i="9"/>
  <c r="E275" i="9"/>
  <c r="E276" i="9"/>
  <c r="E277" i="9"/>
  <c r="E278" i="9"/>
  <c r="E279" i="9"/>
  <c r="E280" i="9"/>
  <c r="E281" i="9"/>
  <c r="E282" i="9"/>
  <c r="E283" i="9"/>
  <c r="E284" i="9"/>
  <c r="E285" i="9"/>
  <c r="E286" i="9"/>
  <c r="E287" i="9"/>
  <c r="E288" i="9"/>
  <c r="E289" i="9"/>
  <c r="E290" i="9"/>
  <c r="E291" i="9"/>
  <c r="E292" i="9"/>
  <c r="E293" i="9"/>
  <c r="E294" i="9"/>
  <c r="E295" i="9"/>
  <c r="E296" i="9"/>
  <c r="E297" i="9"/>
  <c r="E298" i="9"/>
  <c r="E299" i="9"/>
  <c r="E300" i="9"/>
  <c r="E301" i="9"/>
  <c r="E8" i="9"/>
  <c r="Q9" i="3"/>
  <c r="Q10" i="3"/>
  <c r="Q11" i="3"/>
  <c r="Q12" i="3"/>
  <c r="Q13" i="3"/>
  <c r="Q14" i="3"/>
  <c r="Q15" i="3"/>
  <c r="Q16" i="3"/>
  <c r="Q17" i="3"/>
  <c r="Q18" i="3"/>
  <c r="Q19" i="3"/>
  <c r="Q20" i="3"/>
  <c r="Q21" i="3"/>
  <c r="Q22" i="3"/>
  <c r="Q23" i="3"/>
  <c r="Q24" i="3"/>
  <c r="Q25" i="3"/>
  <c r="Q26" i="3"/>
  <c r="Q27" i="3"/>
  <c r="Q28" i="3"/>
  <c r="Q29" i="3"/>
  <c r="Q30" i="3"/>
  <c r="Q31" i="3"/>
  <c r="Q32" i="3"/>
  <c r="Q33" i="3"/>
  <c r="Q34" i="3"/>
  <c r="Q35" i="3"/>
  <c r="Q36" i="3"/>
  <c r="Q37" i="3"/>
  <c r="Q38" i="3"/>
  <c r="Q39" i="3"/>
  <c r="Q40" i="3"/>
  <c r="Q41" i="3"/>
  <c r="Q42" i="3"/>
  <c r="Q43" i="3"/>
  <c r="Q44" i="3"/>
  <c r="Q45" i="3"/>
  <c r="Q46" i="3"/>
  <c r="Q47" i="3"/>
  <c r="Q48" i="3"/>
  <c r="Q49" i="3"/>
  <c r="Q50" i="3"/>
  <c r="Q51" i="3"/>
  <c r="Q52" i="3"/>
  <c r="Q53" i="3"/>
  <c r="Q54" i="3"/>
  <c r="Q55" i="3"/>
  <c r="Q56" i="3"/>
  <c r="Q57" i="3"/>
  <c r="Q58" i="3"/>
  <c r="Q59" i="3"/>
  <c r="Q60" i="3"/>
  <c r="Q61" i="3"/>
  <c r="Q62" i="3"/>
  <c r="Q63" i="3"/>
  <c r="Q64" i="3"/>
  <c r="Q65" i="3"/>
  <c r="Q66" i="3"/>
  <c r="Q67" i="3"/>
  <c r="Q68" i="3"/>
  <c r="Q69" i="3"/>
  <c r="Q70" i="3"/>
  <c r="Q71" i="3"/>
  <c r="Q72" i="3"/>
  <c r="Q73" i="3"/>
  <c r="Q74" i="3"/>
  <c r="Q75" i="3"/>
  <c r="Q76" i="3"/>
  <c r="Q77" i="3"/>
  <c r="Q78" i="3"/>
  <c r="Q79" i="3"/>
  <c r="Q80" i="3"/>
  <c r="Q81" i="3"/>
  <c r="Q82" i="3"/>
  <c r="Q83" i="3"/>
  <c r="Q84" i="3"/>
  <c r="Q85" i="3"/>
  <c r="Q86" i="3"/>
  <c r="Q87" i="3"/>
  <c r="Q88" i="3"/>
  <c r="Q89" i="3"/>
  <c r="Q90" i="3"/>
  <c r="Q91" i="3"/>
  <c r="Q92" i="3"/>
  <c r="Q93" i="3"/>
  <c r="Q94" i="3"/>
  <c r="Q95" i="3"/>
  <c r="Q96" i="3"/>
  <c r="Q97" i="3"/>
  <c r="Q98" i="3"/>
  <c r="Q99" i="3"/>
  <c r="Q100" i="3"/>
  <c r="Q101" i="3"/>
  <c r="Q102" i="3"/>
  <c r="Q103" i="3"/>
  <c r="Q104" i="3"/>
  <c r="Q105" i="3"/>
  <c r="Q106" i="3"/>
  <c r="Q107" i="3"/>
  <c r="Q108" i="3"/>
  <c r="Q109" i="3"/>
  <c r="Q110" i="3"/>
  <c r="Q111" i="3"/>
  <c r="Q112" i="3"/>
  <c r="Q113" i="3"/>
  <c r="Q114" i="3"/>
  <c r="Q115" i="3"/>
  <c r="Q116" i="3"/>
  <c r="Q117" i="3"/>
  <c r="Q118" i="3"/>
  <c r="Q119" i="3"/>
  <c r="Q120" i="3"/>
  <c r="Q121" i="3"/>
  <c r="Q122" i="3"/>
  <c r="Q123" i="3"/>
  <c r="Q124" i="3"/>
  <c r="Q125" i="3"/>
  <c r="Q126" i="3"/>
  <c r="Q127" i="3"/>
  <c r="Q128" i="3"/>
  <c r="Q129" i="3"/>
  <c r="Q130" i="3"/>
  <c r="Q131" i="3"/>
  <c r="Q132" i="3"/>
  <c r="Q133" i="3"/>
  <c r="Q134" i="3"/>
  <c r="Q135" i="3"/>
  <c r="Q136" i="3"/>
  <c r="Q137" i="3"/>
  <c r="Q138" i="3"/>
  <c r="Q139" i="3"/>
  <c r="Q140" i="3"/>
  <c r="Q141" i="3"/>
  <c r="Q142" i="3"/>
  <c r="Q143" i="3"/>
  <c r="Q144" i="3"/>
  <c r="Q145" i="3"/>
  <c r="Q146" i="3"/>
  <c r="Q147" i="3"/>
  <c r="Q148" i="3"/>
  <c r="Q149" i="3"/>
  <c r="Q150" i="3"/>
  <c r="Q151" i="3"/>
  <c r="Q152" i="3"/>
  <c r="Q153" i="3"/>
  <c r="Q154" i="3"/>
  <c r="Q155" i="3"/>
  <c r="Q156" i="3"/>
  <c r="Q157" i="3"/>
  <c r="Q158" i="3"/>
  <c r="Q159" i="3"/>
  <c r="Q160" i="3"/>
  <c r="Q161" i="3"/>
  <c r="Q162" i="3"/>
  <c r="Q163" i="3"/>
  <c r="Q164" i="3"/>
  <c r="Q165" i="3"/>
  <c r="Q166" i="3"/>
  <c r="Q167" i="3"/>
  <c r="Q168" i="3"/>
  <c r="Q169" i="3"/>
  <c r="Q170" i="3"/>
  <c r="Q171" i="3"/>
  <c r="Q172" i="3"/>
  <c r="Q173" i="3"/>
  <c r="Q174" i="3"/>
  <c r="Q175" i="3"/>
  <c r="Q176" i="3"/>
  <c r="Q177" i="3"/>
  <c r="Q178" i="3"/>
  <c r="Q179" i="3"/>
  <c r="Q180" i="3"/>
  <c r="Q181" i="3"/>
  <c r="Q182" i="3"/>
  <c r="Q183" i="3"/>
  <c r="Q184" i="3"/>
  <c r="Q185" i="3"/>
  <c r="Q186" i="3"/>
  <c r="Q187" i="3"/>
  <c r="Q188" i="3"/>
  <c r="Q189" i="3"/>
  <c r="Q190" i="3"/>
  <c r="Q191" i="3"/>
  <c r="Q192" i="3"/>
  <c r="Q193" i="3"/>
  <c r="Q194" i="3"/>
  <c r="Q195" i="3"/>
  <c r="Q196" i="3"/>
  <c r="Q197" i="3"/>
  <c r="Q198" i="3"/>
  <c r="Q199" i="3"/>
  <c r="Q200" i="3"/>
  <c r="Q201" i="3"/>
  <c r="Q202" i="3"/>
  <c r="Q203" i="3"/>
  <c r="Q204" i="3"/>
  <c r="Q205" i="3"/>
  <c r="Q206" i="3"/>
  <c r="Q207" i="3"/>
  <c r="Q208" i="3"/>
  <c r="Q209" i="3"/>
  <c r="Q210" i="3"/>
  <c r="Q211" i="3"/>
  <c r="Q212" i="3"/>
  <c r="Q213" i="3"/>
  <c r="Q214" i="3"/>
  <c r="Q215" i="3"/>
  <c r="Q216" i="3"/>
  <c r="Q217" i="3"/>
  <c r="Q218" i="3"/>
  <c r="Q219" i="3"/>
  <c r="Q220" i="3"/>
  <c r="Q221" i="3"/>
  <c r="Q222" i="3"/>
  <c r="Q223" i="3"/>
  <c r="Q224" i="3"/>
  <c r="Q225" i="3"/>
  <c r="Q226" i="3"/>
  <c r="Q227" i="3"/>
  <c r="Q228" i="3"/>
  <c r="Q229" i="3"/>
  <c r="Q230" i="3"/>
  <c r="Q231" i="3"/>
  <c r="Q232" i="3"/>
  <c r="Q233" i="3"/>
  <c r="Q234" i="3"/>
  <c r="Q235" i="3"/>
  <c r="Q236" i="3"/>
  <c r="Q237" i="3"/>
  <c r="Q238" i="3"/>
  <c r="Q239" i="3"/>
  <c r="Q240" i="3"/>
  <c r="Q241" i="3"/>
  <c r="Q242" i="3"/>
  <c r="Q243" i="3"/>
  <c r="Q244" i="3"/>
  <c r="Q245" i="3"/>
  <c r="Q246" i="3"/>
  <c r="Q247" i="3"/>
  <c r="Q248" i="3"/>
  <c r="Q249" i="3"/>
  <c r="Q250" i="3"/>
  <c r="Q251" i="3"/>
  <c r="Q252" i="3"/>
  <c r="Q253" i="3"/>
  <c r="Q254" i="3"/>
  <c r="Q255" i="3"/>
  <c r="Q256" i="3"/>
  <c r="Q257" i="3"/>
  <c r="Q258" i="3"/>
  <c r="Q259" i="3"/>
  <c r="Q260" i="3"/>
  <c r="Q261" i="3"/>
  <c r="Q262" i="3"/>
  <c r="Q263" i="3"/>
  <c r="Q264" i="3"/>
  <c r="Q265" i="3"/>
  <c r="Q266" i="3"/>
  <c r="Q267" i="3"/>
  <c r="Q268" i="3"/>
  <c r="Q269" i="3"/>
  <c r="Q270" i="3"/>
  <c r="Q271" i="3"/>
  <c r="Q272" i="3"/>
  <c r="Q273" i="3"/>
  <c r="Q274" i="3"/>
  <c r="Q275" i="3"/>
  <c r="Q276" i="3"/>
  <c r="Q277" i="3"/>
  <c r="Q278" i="3"/>
  <c r="Q279" i="3"/>
  <c r="Q280" i="3"/>
  <c r="Q281" i="3"/>
  <c r="Q282" i="3"/>
  <c r="Q283" i="3"/>
  <c r="Q284" i="3"/>
  <c r="Q285" i="3"/>
  <c r="Q286" i="3"/>
  <c r="Q287" i="3"/>
  <c r="Q288" i="3"/>
  <c r="Q289" i="3"/>
  <c r="Q290" i="3"/>
  <c r="Q291" i="3"/>
  <c r="Q292" i="3"/>
  <c r="Q293" i="3"/>
  <c r="Q294" i="3"/>
  <c r="Q295" i="3"/>
  <c r="Q296" i="3"/>
  <c r="Q297" i="3"/>
  <c r="Q298" i="3"/>
  <c r="Q299" i="3"/>
  <c r="Q300" i="3"/>
  <c r="Q301" i="3"/>
  <c r="Q8" i="3"/>
  <c r="K302" i="9" l="1"/>
  <c r="M9" i="29"/>
  <c r="T9" i="29" s="1"/>
  <c r="M11" i="29"/>
  <c r="T11" i="29" s="1"/>
  <c r="M12" i="29"/>
  <c r="T12" i="29" s="1"/>
  <c r="M13" i="29"/>
  <c r="T13" i="29" s="1"/>
  <c r="M14" i="29"/>
  <c r="T14" i="29" s="1"/>
  <c r="M15" i="29"/>
  <c r="T15" i="29" s="1"/>
  <c r="M16" i="29"/>
  <c r="T16" i="29" s="1"/>
  <c r="M17" i="29"/>
  <c r="T17" i="29" s="1"/>
  <c r="M18" i="29"/>
  <c r="T18" i="29" s="1"/>
  <c r="M19" i="29"/>
  <c r="T19" i="29" s="1"/>
  <c r="M20" i="29"/>
  <c r="T20" i="29" s="1"/>
  <c r="M21" i="29"/>
  <c r="T21" i="29" s="1"/>
  <c r="M22" i="29"/>
  <c r="T22" i="29" s="1"/>
  <c r="M23" i="29"/>
  <c r="T23" i="29" s="1"/>
  <c r="M24" i="29"/>
  <c r="T24" i="29" s="1"/>
  <c r="M25" i="29"/>
  <c r="T25" i="29" s="1"/>
  <c r="M26" i="29"/>
  <c r="T26" i="29" s="1"/>
  <c r="M27" i="29"/>
  <c r="T27" i="29" s="1"/>
  <c r="M28" i="29"/>
  <c r="T28" i="29" s="1"/>
  <c r="M29" i="29"/>
  <c r="T29" i="29" s="1"/>
  <c r="M30" i="29"/>
  <c r="T30" i="29" s="1"/>
  <c r="M31" i="29"/>
  <c r="T31" i="29" s="1"/>
  <c r="M32" i="29"/>
  <c r="T32" i="29" s="1"/>
  <c r="M33" i="29"/>
  <c r="T33" i="29" s="1"/>
  <c r="M34" i="29"/>
  <c r="T34" i="29" s="1"/>
  <c r="M35" i="29"/>
  <c r="T35" i="29" s="1"/>
  <c r="M36" i="29"/>
  <c r="T36" i="29" s="1"/>
  <c r="M37" i="29"/>
  <c r="T37" i="29" s="1"/>
  <c r="M38" i="29"/>
  <c r="T38" i="29" s="1"/>
  <c r="M39" i="29"/>
  <c r="T39" i="29" s="1"/>
  <c r="M40" i="29"/>
  <c r="T40" i="29" s="1"/>
  <c r="M41" i="29"/>
  <c r="T41" i="29" s="1"/>
  <c r="M42" i="29"/>
  <c r="T42" i="29" s="1"/>
  <c r="M43" i="29"/>
  <c r="T43" i="29" s="1"/>
  <c r="M44" i="29"/>
  <c r="T44" i="29" s="1"/>
  <c r="M45" i="29"/>
  <c r="T45" i="29" s="1"/>
  <c r="M46" i="29"/>
  <c r="T46" i="29" s="1"/>
  <c r="M47" i="29"/>
  <c r="T47" i="29" s="1"/>
  <c r="M48" i="29"/>
  <c r="T48" i="29" s="1"/>
  <c r="M49" i="29"/>
  <c r="T49" i="29" s="1"/>
  <c r="M50" i="29"/>
  <c r="T50" i="29" s="1"/>
  <c r="M51" i="29"/>
  <c r="T51" i="29" s="1"/>
  <c r="M52" i="29"/>
  <c r="T52" i="29" s="1"/>
  <c r="M53" i="29"/>
  <c r="T53" i="29" s="1"/>
  <c r="M54" i="29"/>
  <c r="T54" i="29" s="1"/>
  <c r="M55" i="29"/>
  <c r="T55" i="29" s="1"/>
  <c r="M56" i="29"/>
  <c r="T56" i="29" s="1"/>
  <c r="M57" i="29"/>
  <c r="T57" i="29" s="1"/>
  <c r="M58" i="29"/>
  <c r="T58" i="29" s="1"/>
  <c r="M59" i="29"/>
  <c r="T59" i="29" s="1"/>
  <c r="M60" i="29"/>
  <c r="T60" i="29" s="1"/>
  <c r="M61" i="29"/>
  <c r="T61" i="29" s="1"/>
  <c r="M62" i="29"/>
  <c r="T62" i="29" s="1"/>
  <c r="M63" i="29"/>
  <c r="T63" i="29" s="1"/>
  <c r="M64" i="29"/>
  <c r="T64" i="29" s="1"/>
  <c r="M65" i="29"/>
  <c r="T65" i="29" s="1"/>
  <c r="M66" i="29"/>
  <c r="T66" i="29" s="1"/>
  <c r="M67" i="29"/>
  <c r="T67" i="29" s="1"/>
  <c r="M68" i="29"/>
  <c r="T68" i="29" s="1"/>
  <c r="M69" i="29"/>
  <c r="T69" i="29" s="1"/>
  <c r="M70" i="29"/>
  <c r="T70" i="29" s="1"/>
  <c r="M71" i="29"/>
  <c r="T71" i="29" s="1"/>
  <c r="M72" i="29"/>
  <c r="T72" i="29" s="1"/>
  <c r="M73" i="29"/>
  <c r="T73" i="29" s="1"/>
  <c r="M74" i="29"/>
  <c r="T74" i="29" s="1"/>
  <c r="M75" i="29"/>
  <c r="T75" i="29" s="1"/>
  <c r="M76" i="29"/>
  <c r="T76" i="29" s="1"/>
  <c r="M77" i="29"/>
  <c r="T77" i="29" s="1"/>
  <c r="M78" i="29"/>
  <c r="T78" i="29" s="1"/>
  <c r="M79" i="29"/>
  <c r="T79" i="29" s="1"/>
  <c r="M80" i="29"/>
  <c r="T80" i="29" s="1"/>
  <c r="M81" i="29"/>
  <c r="T81" i="29" s="1"/>
  <c r="M82" i="29"/>
  <c r="T82" i="29" s="1"/>
  <c r="M83" i="29"/>
  <c r="T83" i="29" s="1"/>
  <c r="M84" i="29"/>
  <c r="T84" i="29" s="1"/>
  <c r="M85" i="29"/>
  <c r="T85" i="29" s="1"/>
  <c r="M86" i="29"/>
  <c r="T86" i="29" s="1"/>
  <c r="M87" i="29"/>
  <c r="T87" i="29" s="1"/>
  <c r="M88" i="29"/>
  <c r="T88" i="29" s="1"/>
  <c r="M89" i="29"/>
  <c r="T89" i="29" s="1"/>
  <c r="M90" i="29"/>
  <c r="T90" i="29" s="1"/>
  <c r="M91" i="29"/>
  <c r="T91" i="29" s="1"/>
  <c r="M92" i="29"/>
  <c r="T92" i="29" s="1"/>
  <c r="M93" i="29"/>
  <c r="T93" i="29" s="1"/>
  <c r="M94" i="29"/>
  <c r="T94" i="29" s="1"/>
  <c r="M95" i="29"/>
  <c r="T95" i="29" s="1"/>
  <c r="M96" i="29"/>
  <c r="T96" i="29" s="1"/>
  <c r="M97" i="29"/>
  <c r="T97" i="29" s="1"/>
  <c r="M98" i="29"/>
  <c r="T98" i="29" s="1"/>
  <c r="M99" i="29"/>
  <c r="T99" i="29" s="1"/>
  <c r="M100" i="29"/>
  <c r="T100" i="29" s="1"/>
  <c r="M101" i="29"/>
  <c r="T101" i="29" s="1"/>
  <c r="M102" i="29"/>
  <c r="T102" i="29" s="1"/>
  <c r="M103" i="29"/>
  <c r="T103" i="29" s="1"/>
  <c r="M104" i="29"/>
  <c r="T104" i="29" s="1"/>
  <c r="M105" i="29"/>
  <c r="T105" i="29" s="1"/>
  <c r="M106" i="29"/>
  <c r="T106" i="29" s="1"/>
  <c r="M107" i="29"/>
  <c r="T107" i="29" s="1"/>
  <c r="M108" i="29"/>
  <c r="T108" i="29" s="1"/>
  <c r="M109" i="29"/>
  <c r="T109" i="29" s="1"/>
  <c r="M110" i="29"/>
  <c r="T110" i="29" s="1"/>
  <c r="M111" i="29"/>
  <c r="T111" i="29" s="1"/>
  <c r="M112" i="29"/>
  <c r="T112" i="29" s="1"/>
  <c r="M113" i="29"/>
  <c r="T113" i="29" s="1"/>
  <c r="M114" i="29"/>
  <c r="T114" i="29" s="1"/>
  <c r="M115" i="29"/>
  <c r="T115" i="29" s="1"/>
  <c r="M116" i="29"/>
  <c r="T116" i="29" s="1"/>
  <c r="M117" i="29"/>
  <c r="T117" i="29" s="1"/>
  <c r="M118" i="29"/>
  <c r="T118" i="29" s="1"/>
  <c r="M119" i="29"/>
  <c r="T119" i="29" s="1"/>
  <c r="M120" i="29"/>
  <c r="T120" i="29" s="1"/>
  <c r="M121" i="29"/>
  <c r="T121" i="29" s="1"/>
  <c r="M122" i="29"/>
  <c r="T122" i="29" s="1"/>
  <c r="M123" i="29"/>
  <c r="T123" i="29" s="1"/>
  <c r="M124" i="29"/>
  <c r="T124" i="29" s="1"/>
  <c r="M125" i="29"/>
  <c r="T125" i="29" s="1"/>
  <c r="M126" i="29"/>
  <c r="T126" i="29" s="1"/>
  <c r="M127" i="29"/>
  <c r="T127" i="29" s="1"/>
  <c r="M128" i="29"/>
  <c r="T128" i="29" s="1"/>
  <c r="M129" i="29"/>
  <c r="T129" i="29" s="1"/>
  <c r="M130" i="29"/>
  <c r="T130" i="29" s="1"/>
  <c r="M131" i="29"/>
  <c r="T131" i="29" s="1"/>
  <c r="M132" i="29"/>
  <c r="T132" i="29" s="1"/>
  <c r="M133" i="29"/>
  <c r="T133" i="29" s="1"/>
  <c r="M134" i="29"/>
  <c r="T134" i="29" s="1"/>
  <c r="M135" i="29"/>
  <c r="T135" i="29" s="1"/>
  <c r="M136" i="29"/>
  <c r="T136" i="29" s="1"/>
  <c r="M137" i="29"/>
  <c r="T137" i="29" s="1"/>
  <c r="M138" i="29"/>
  <c r="T138" i="29" s="1"/>
  <c r="M139" i="29"/>
  <c r="T139" i="29" s="1"/>
  <c r="M140" i="29"/>
  <c r="T140" i="29" s="1"/>
  <c r="M141" i="29"/>
  <c r="T141" i="29" s="1"/>
  <c r="M142" i="29"/>
  <c r="T142" i="29" s="1"/>
  <c r="M143" i="29"/>
  <c r="T143" i="29" s="1"/>
  <c r="M144" i="29"/>
  <c r="T144" i="29" s="1"/>
  <c r="M145" i="29"/>
  <c r="T145" i="29" s="1"/>
  <c r="M146" i="29"/>
  <c r="T146" i="29" s="1"/>
  <c r="M147" i="29"/>
  <c r="T147" i="29" s="1"/>
  <c r="M148" i="29"/>
  <c r="T148" i="29" s="1"/>
  <c r="M149" i="29"/>
  <c r="T149" i="29" s="1"/>
  <c r="M150" i="29"/>
  <c r="T150" i="29" s="1"/>
  <c r="M151" i="29"/>
  <c r="T151" i="29" s="1"/>
  <c r="M152" i="29"/>
  <c r="T152" i="29" s="1"/>
  <c r="M153" i="29"/>
  <c r="T153" i="29" s="1"/>
  <c r="M154" i="29"/>
  <c r="T154" i="29" s="1"/>
  <c r="M155" i="29"/>
  <c r="T155" i="29" s="1"/>
  <c r="M156" i="29"/>
  <c r="T156" i="29" s="1"/>
  <c r="M157" i="29"/>
  <c r="T157" i="29" s="1"/>
  <c r="M158" i="29"/>
  <c r="T158" i="29" s="1"/>
  <c r="M159" i="29"/>
  <c r="T159" i="29" s="1"/>
  <c r="M160" i="29"/>
  <c r="T160" i="29" s="1"/>
  <c r="M161" i="29"/>
  <c r="T161" i="29" s="1"/>
  <c r="M162" i="29"/>
  <c r="T162" i="29" s="1"/>
  <c r="M163" i="29"/>
  <c r="T163" i="29" s="1"/>
  <c r="M164" i="29"/>
  <c r="T164" i="29" s="1"/>
  <c r="M165" i="29"/>
  <c r="T165" i="29" s="1"/>
  <c r="M166" i="29"/>
  <c r="T166" i="29" s="1"/>
  <c r="M167" i="29"/>
  <c r="T167" i="29" s="1"/>
  <c r="M168" i="29"/>
  <c r="T168" i="29" s="1"/>
  <c r="M169" i="29"/>
  <c r="T169" i="29" s="1"/>
  <c r="M170" i="29"/>
  <c r="T170" i="29" s="1"/>
  <c r="M171" i="29"/>
  <c r="T171" i="29" s="1"/>
  <c r="M172" i="29"/>
  <c r="T172" i="29" s="1"/>
  <c r="M173" i="29"/>
  <c r="T173" i="29" s="1"/>
  <c r="M174" i="29"/>
  <c r="T174" i="29" s="1"/>
  <c r="M175" i="29"/>
  <c r="T175" i="29" s="1"/>
  <c r="M176" i="29"/>
  <c r="T176" i="29" s="1"/>
  <c r="M177" i="29"/>
  <c r="T177" i="29" s="1"/>
  <c r="M178" i="29"/>
  <c r="T178" i="29" s="1"/>
  <c r="M179" i="29"/>
  <c r="T179" i="29" s="1"/>
  <c r="M180" i="29"/>
  <c r="T180" i="29" s="1"/>
  <c r="M181" i="29"/>
  <c r="T181" i="29" s="1"/>
  <c r="M182" i="29"/>
  <c r="T182" i="29" s="1"/>
  <c r="M183" i="29"/>
  <c r="T183" i="29" s="1"/>
  <c r="M184" i="29"/>
  <c r="T184" i="29" s="1"/>
  <c r="M185" i="29"/>
  <c r="T185" i="29" s="1"/>
  <c r="M186" i="29"/>
  <c r="T186" i="29" s="1"/>
  <c r="M187" i="29"/>
  <c r="T187" i="29" s="1"/>
  <c r="M188" i="29"/>
  <c r="T188" i="29" s="1"/>
  <c r="M189" i="29"/>
  <c r="T189" i="29" s="1"/>
  <c r="M190" i="29"/>
  <c r="T190" i="29" s="1"/>
  <c r="M191" i="29"/>
  <c r="T191" i="29" s="1"/>
  <c r="M192" i="29"/>
  <c r="T192" i="29" s="1"/>
  <c r="M193" i="29"/>
  <c r="T193" i="29" s="1"/>
  <c r="M194" i="29"/>
  <c r="T194" i="29" s="1"/>
  <c r="M195" i="29"/>
  <c r="T195" i="29" s="1"/>
  <c r="M196" i="29"/>
  <c r="T196" i="29" s="1"/>
  <c r="M197" i="29"/>
  <c r="T197" i="29" s="1"/>
  <c r="M198" i="29"/>
  <c r="M199" i="29"/>
  <c r="T199" i="29" s="1"/>
  <c r="M200" i="29"/>
  <c r="T200" i="29" s="1"/>
  <c r="M201" i="29"/>
  <c r="T201" i="29" s="1"/>
  <c r="M202" i="29"/>
  <c r="T202" i="29" s="1"/>
  <c r="M203" i="29"/>
  <c r="T203" i="29" s="1"/>
  <c r="M204" i="29"/>
  <c r="T204" i="29" s="1"/>
  <c r="M205" i="29"/>
  <c r="T205" i="29" s="1"/>
  <c r="M206" i="29"/>
  <c r="T206" i="29" s="1"/>
  <c r="M207" i="29"/>
  <c r="T207" i="29" s="1"/>
  <c r="M208" i="29"/>
  <c r="T208" i="29" s="1"/>
  <c r="M209" i="29"/>
  <c r="T209" i="29" s="1"/>
  <c r="M210" i="29"/>
  <c r="T210" i="29" s="1"/>
  <c r="M211" i="29"/>
  <c r="T211" i="29" s="1"/>
  <c r="M212" i="29"/>
  <c r="T212" i="29" s="1"/>
  <c r="M213" i="29"/>
  <c r="T213" i="29" s="1"/>
  <c r="M214" i="29"/>
  <c r="T214" i="29" s="1"/>
  <c r="M215" i="29"/>
  <c r="T215" i="29" s="1"/>
  <c r="M216" i="29"/>
  <c r="T216" i="29" s="1"/>
  <c r="M217" i="29"/>
  <c r="T217" i="29" s="1"/>
  <c r="M218" i="29"/>
  <c r="T218" i="29" s="1"/>
  <c r="M219" i="29"/>
  <c r="T219" i="29" s="1"/>
  <c r="M220" i="29"/>
  <c r="T220" i="29" s="1"/>
  <c r="M221" i="29"/>
  <c r="T221" i="29" s="1"/>
  <c r="M222" i="29"/>
  <c r="T222" i="29" s="1"/>
  <c r="M223" i="29"/>
  <c r="T223" i="29" s="1"/>
  <c r="M224" i="29"/>
  <c r="T224" i="29" s="1"/>
  <c r="M225" i="29"/>
  <c r="T225" i="29" s="1"/>
  <c r="M226" i="29"/>
  <c r="T226" i="29" s="1"/>
  <c r="M227" i="29"/>
  <c r="T227" i="29" s="1"/>
  <c r="M228" i="29"/>
  <c r="T228" i="29" s="1"/>
  <c r="M229" i="29"/>
  <c r="T229" i="29" s="1"/>
  <c r="M230" i="29"/>
  <c r="T230" i="29" s="1"/>
  <c r="M231" i="29"/>
  <c r="T231" i="29" s="1"/>
  <c r="M232" i="29"/>
  <c r="T232" i="29" s="1"/>
  <c r="M233" i="29"/>
  <c r="T233" i="29" s="1"/>
  <c r="M234" i="29"/>
  <c r="T234" i="29" s="1"/>
  <c r="M235" i="29"/>
  <c r="T235" i="29" s="1"/>
  <c r="M236" i="29"/>
  <c r="T236" i="29" s="1"/>
  <c r="M237" i="29"/>
  <c r="T237" i="29" s="1"/>
  <c r="M238" i="29"/>
  <c r="T238" i="29" s="1"/>
  <c r="M239" i="29"/>
  <c r="T239" i="29" s="1"/>
  <c r="M240" i="29"/>
  <c r="T240" i="29" s="1"/>
  <c r="M241" i="29"/>
  <c r="T241" i="29" s="1"/>
  <c r="M242" i="29"/>
  <c r="T242" i="29" s="1"/>
  <c r="M243" i="29"/>
  <c r="T243" i="29" s="1"/>
  <c r="M244" i="29"/>
  <c r="T244" i="29" s="1"/>
  <c r="M245" i="29"/>
  <c r="T245" i="29" s="1"/>
  <c r="M246" i="29"/>
  <c r="T246" i="29" s="1"/>
  <c r="M247" i="29"/>
  <c r="T247" i="29" s="1"/>
  <c r="M248" i="29"/>
  <c r="T248" i="29" s="1"/>
  <c r="M249" i="29"/>
  <c r="T249" i="29" s="1"/>
  <c r="M250" i="29"/>
  <c r="T250" i="29" s="1"/>
  <c r="M251" i="29"/>
  <c r="T251" i="29" s="1"/>
  <c r="M252" i="29"/>
  <c r="T252" i="29" s="1"/>
  <c r="M253" i="29"/>
  <c r="T253" i="29" s="1"/>
  <c r="M254" i="29"/>
  <c r="T254" i="29" s="1"/>
  <c r="M255" i="29"/>
  <c r="T255" i="29" s="1"/>
  <c r="M256" i="29"/>
  <c r="T256" i="29" s="1"/>
  <c r="M257" i="29"/>
  <c r="T257" i="29" s="1"/>
  <c r="M258" i="29"/>
  <c r="T258" i="29" s="1"/>
  <c r="M259" i="29"/>
  <c r="T259" i="29" s="1"/>
  <c r="M260" i="29"/>
  <c r="T260" i="29" s="1"/>
  <c r="M261" i="29"/>
  <c r="T261" i="29" s="1"/>
  <c r="M262" i="29"/>
  <c r="T262" i="29" s="1"/>
  <c r="M263" i="29"/>
  <c r="T263" i="29" s="1"/>
  <c r="M264" i="29"/>
  <c r="T264" i="29" s="1"/>
  <c r="M265" i="29"/>
  <c r="T265" i="29" s="1"/>
  <c r="M266" i="29"/>
  <c r="T266" i="29" s="1"/>
  <c r="M267" i="29"/>
  <c r="T267" i="29" s="1"/>
  <c r="M268" i="29"/>
  <c r="T268" i="29" s="1"/>
  <c r="M269" i="29"/>
  <c r="T269" i="29" s="1"/>
  <c r="M270" i="29"/>
  <c r="T270" i="29" s="1"/>
  <c r="M271" i="29"/>
  <c r="T271" i="29" s="1"/>
  <c r="M272" i="29"/>
  <c r="T272" i="29" s="1"/>
  <c r="M273" i="29"/>
  <c r="T273" i="29" s="1"/>
  <c r="M274" i="29"/>
  <c r="T274" i="29" s="1"/>
  <c r="M275" i="29"/>
  <c r="T275" i="29" s="1"/>
  <c r="M276" i="29"/>
  <c r="T276" i="29" s="1"/>
  <c r="M277" i="29"/>
  <c r="T277" i="29" s="1"/>
  <c r="M278" i="29"/>
  <c r="T278" i="29" s="1"/>
  <c r="M279" i="29"/>
  <c r="T279" i="29" s="1"/>
  <c r="M280" i="29"/>
  <c r="T280" i="29" s="1"/>
  <c r="M281" i="29"/>
  <c r="T281" i="29" s="1"/>
  <c r="M282" i="29"/>
  <c r="T282" i="29" s="1"/>
  <c r="M283" i="29"/>
  <c r="T283" i="29" s="1"/>
  <c r="M284" i="29"/>
  <c r="T284" i="29" s="1"/>
  <c r="M285" i="29"/>
  <c r="T285" i="29" s="1"/>
  <c r="M286" i="29"/>
  <c r="T286" i="29" s="1"/>
  <c r="M287" i="29"/>
  <c r="T287" i="29" s="1"/>
  <c r="M288" i="29"/>
  <c r="T288" i="29" s="1"/>
  <c r="M289" i="29"/>
  <c r="T289" i="29" s="1"/>
  <c r="M290" i="29"/>
  <c r="T290" i="29" s="1"/>
  <c r="M291" i="29"/>
  <c r="T291" i="29" s="1"/>
  <c r="M292" i="29"/>
  <c r="T292" i="29" s="1"/>
  <c r="M293" i="29"/>
  <c r="T293" i="29" s="1"/>
  <c r="M294" i="29"/>
  <c r="T294" i="29" s="1"/>
  <c r="M295" i="29"/>
  <c r="T295" i="29" s="1"/>
  <c r="M296" i="29"/>
  <c r="T296" i="29" s="1"/>
  <c r="M297" i="29"/>
  <c r="M298" i="29"/>
  <c r="T298" i="29" s="1"/>
  <c r="M299" i="29"/>
  <c r="T299" i="29" s="1"/>
  <c r="M300" i="29"/>
  <c r="T300" i="29" s="1"/>
  <c r="M301" i="29"/>
  <c r="T301" i="29" s="1"/>
  <c r="AE6" i="53"/>
  <c r="Y6" i="53"/>
  <c r="N9" i="3"/>
  <c r="O9" i="3"/>
  <c r="P9" i="3"/>
  <c r="N10" i="3"/>
  <c r="O10" i="3"/>
  <c r="P10" i="3"/>
  <c r="N11" i="3"/>
  <c r="O11" i="3"/>
  <c r="P11" i="3"/>
  <c r="N12" i="3"/>
  <c r="O12" i="3"/>
  <c r="P12" i="3"/>
  <c r="N13" i="3"/>
  <c r="O13" i="3"/>
  <c r="P13" i="3"/>
  <c r="N14" i="3"/>
  <c r="O14" i="3"/>
  <c r="P14" i="3"/>
  <c r="N15" i="3"/>
  <c r="O15" i="3"/>
  <c r="P15" i="3"/>
  <c r="N16" i="3"/>
  <c r="O16" i="3"/>
  <c r="P16" i="3"/>
  <c r="N17" i="3"/>
  <c r="O17" i="3"/>
  <c r="P17" i="3"/>
  <c r="N18" i="3"/>
  <c r="O18" i="3"/>
  <c r="P18" i="3"/>
  <c r="N19" i="3"/>
  <c r="O19" i="3"/>
  <c r="P19" i="3"/>
  <c r="N20" i="3"/>
  <c r="O20" i="3"/>
  <c r="P20" i="3"/>
  <c r="N21" i="3"/>
  <c r="O21" i="3"/>
  <c r="P21" i="3"/>
  <c r="N22" i="3"/>
  <c r="O22" i="3"/>
  <c r="P22" i="3"/>
  <c r="N23" i="3"/>
  <c r="O23" i="3"/>
  <c r="P23" i="3"/>
  <c r="N24" i="3"/>
  <c r="O24" i="3"/>
  <c r="P24" i="3"/>
  <c r="N25" i="3"/>
  <c r="O25" i="3"/>
  <c r="P25" i="3"/>
  <c r="N26" i="3"/>
  <c r="O26" i="3"/>
  <c r="P26" i="3"/>
  <c r="N27" i="3"/>
  <c r="O27" i="3"/>
  <c r="P27" i="3"/>
  <c r="N28" i="3"/>
  <c r="O28" i="3"/>
  <c r="P28" i="3"/>
  <c r="N29" i="3"/>
  <c r="O29" i="3"/>
  <c r="P29" i="3"/>
  <c r="N30" i="3"/>
  <c r="O30" i="3"/>
  <c r="P30" i="3"/>
  <c r="N31" i="3"/>
  <c r="O31" i="3"/>
  <c r="P31" i="3"/>
  <c r="N32" i="3"/>
  <c r="O32" i="3"/>
  <c r="P32" i="3"/>
  <c r="N33" i="3"/>
  <c r="O33" i="3"/>
  <c r="P33" i="3"/>
  <c r="N34" i="3"/>
  <c r="O34" i="3"/>
  <c r="P34" i="3"/>
  <c r="N35" i="3"/>
  <c r="O35" i="3"/>
  <c r="P35" i="3"/>
  <c r="N36" i="3"/>
  <c r="O36" i="3"/>
  <c r="P36" i="3"/>
  <c r="N37" i="3"/>
  <c r="O37" i="3"/>
  <c r="P37" i="3"/>
  <c r="N38" i="3"/>
  <c r="O38" i="3"/>
  <c r="P38" i="3"/>
  <c r="N39" i="3"/>
  <c r="O39" i="3"/>
  <c r="P39" i="3"/>
  <c r="N40" i="3"/>
  <c r="O40" i="3"/>
  <c r="P40" i="3"/>
  <c r="N41" i="3"/>
  <c r="O41" i="3"/>
  <c r="P41" i="3"/>
  <c r="N42" i="3"/>
  <c r="O42" i="3"/>
  <c r="P42" i="3"/>
  <c r="N43" i="3"/>
  <c r="O43" i="3"/>
  <c r="P43" i="3"/>
  <c r="N44" i="3"/>
  <c r="O44" i="3"/>
  <c r="P44" i="3"/>
  <c r="N45" i="3"/>
  <c r="O45" i="3"/>
  <c r="P45" i="3"/>
  <c r="N46" i="3"/>
  <c r="O46" i="3"/>
  <c r="P46" i="3"/>
  <c r="N47" i="3"/>
  <c r="O47" i="3"/>
  <c r="P47" i="3"/>
  <c r="N48" i="3"/>
  <c r="O48" i="3"/>
  <c r="P48" i="3"/>
  <c r="N49" i="3"/>
  <c r="O49" i="3"/>
  <c r="P49" i="3"/>
  <c r="N50" i="3"/>
  <c r="O50" i="3"/>
  <c r="P50" i="3"/>
  <c r="N51" i="3"/>
  <c r="O51" i="3"/>
  <c r="P51" i="3"/>
  <c r="N52" i="3"/>
  <c r="O52" i="3"/>
  <c r="P52" i="3"/>
  <c r="N53" i="3"/>
  <c r="O53" i="3"/>
  <c r="P53" i="3"/>
  <c r="N54" i="3"/>
  <c r="O54" i="3"/>
  <c r="P54" i="3"/>
  <c r="N55" i="3"/>
  <c r="O55" i="3"/>
  <c r="P55" i="3"/>
  <c r="N56" i="3"/>
  <c r="O56" i="3"/>
  <c r="P56" i="3"/>
  <c r="N57" i="3"/>
  <c r="O57" i="3"/>
  <c r="P57" i="3"/>
  <c r="N58" i="3"/>
  <c r="O58" i="3"/>
  <c r="P58" i="3"/>
  <c r="N59" i="3"/>
  <c r="O59" i="3"/>
  <c r="P59" i="3"/>
  <c r="N60" i="3"/>
  <c r="O60" i="3"/>
  <c r="P60" i="3"/>
  <c r="N61" i="3"/>
  <c r="O61" i="3"/>
  <c r="P61" i="3"/>
  <c r="N62" i="3"/>
  <c r="O62" i="3"/>
  <c r="P62" i="3"/>
  <c r="N63" i="3"/>
  <c r="O63" i="3"/>
  <c r="P63" i="3"/>
  <c r="N64" i="3"/>
  <c r="O64" i="3"/>
  <c r="P64" i="3"/>
  <c r="N65" i="3"/>
  <c r="O65" i="3"/>
  <c r="P65" i="3"/>
  <c r="N66" i="3"/>
  <c r="O66" i="3"/>
  <c r="P66" i="3"/>
  <c r="N67" i="3"/>
  <c r="O67" i="3"/>
  <c r="P67" i="3"/>
  <c r="N68" i="3"/>
  <c r="O68" i="3"/>
  <c r="P68" i="3"/>
  <c r="N69" i="3"/>
  <c r="O69" i="3"/>
  <c r="P69" i="3"/>
  <c r="N70" i="3"/>
  <c r="O70" i="3"/>
  <c r="P70" i="3"/>
  <c r="N71" i="3"/>
  <c r="O71" i="3"/>
  <c r="P71" i="3"/>
  <c r="N72" i="3"/>
  <c r="O72" i="3"/>
  <c r="P72" i="3"/>
  <c r="N73" i="3"/>
  <c r="O73" i="3"/>
  <c r="P73" i="3"/>
  <c r="N74" i="3"/>
  <c r="O74" i="3"/>
  <c r="P74" i="3"/>
  <c r="N75" i="3"/>
  <c r="O75" i="3"/>
  <c r="P75" i="3"/>
  <c r="N76" i="3"/>
  <c r="O76" i="3"/>
  <c r="P76" i="3"/>
  <c r="N77" i="3"/>
  <c r="O77" i="3"/>
  <c r="P77" i="3"/>
  <c r="N78" i="3"/>
  <c r="O78" i="3"/>
  <c r="P78" i="3"/>
  <c r="N79" i="3"/>
  <c r="O79" i="3"/>
  <c r="P79" i="3"/>
  <c r="N80" i="3"/>
  <c r="O80" i="3"/>
  <c r="P80" i="3"/>
  <c r="N81" i="3"/>
  <c r="O81" i="3"/>
  <c r="P81" i="3"/>
  <c r="N82" i="3"/>
  <c r="O82" i="3"/>
  <c r="P82" i="3"/>
  <c r="N83" i="3"/>
  <c r="O83" i="3"/>
  <c r="P83" i="3"/>
  <c r="N84" i="3"/>
  <c r="O84" i="3"/>
  <c r="P84" i="3"/>
  <c r="N85" i="3"/>
  <c r="O85" i="3"/>
  <c r="P85" i="3"/>
  <c r="N86" i="3"/>
  <c r="O86" i="3"/>
  <c r="P86" i="3"/>
  <c r="N87" i="3"/>
  <c r="O87" i="3"/>
  <c r="P87" i="3"/>
  <c r="N88" i="3"/>
  <c r="O88" i="3"/>
  <c r="P88" i="3"/>
  <c r="N89" i="3"/>
  <c r="O89" i="3"/>
  <c r="P89" i="3"/>
  <c r="N90" i="3"/>
  <c r="O90" i="3"/>
  <c r="P90" i="3"/>
  <c r="N91" i="3"/>
  <c r="O91" i="3"/>
  <c r="P91" i="3"/>
  <c r="N92" i="3"/>
  <c r="O92" i="3"/>
  <c r="P92" i="3"/>
  <c r="N93" i="3"/>
  <c r="O93" i="3"/>
  <c r="P93" i="3"/>
  <c r="N94" i="3"/>
  <c r="O94" i="3"/>
  <c r="P94" i="3"/>
  <c r="N95" i="3"/>
  <c r="O95" i="3"/>
  <c r="P95" i="3"/>
  <c r="N96" i="3"/>
  <c r="O96" i="3"/>
  <c r="P96" i="3"/>
  <c r="N97" i="3"/>
  <c r="O97" i="3"/>
  <c r="P97" i="3"/>
  <c r="N98" i="3"/>
  <c r="O98" i="3"/>
  <c r="P98" i="3"/>
  <c r="N99" i="3"/>
  <c r="O99" i="3"/>
  <c r="P99" i="3"/>
  <c r="N100" i="3"/>
  <c r="O100" i="3"/>
  <c r="P100" i="3"/>
  <c r="N101" i="3"/>
  <c r="O101" i="3"/>
  <c r="P101" i="3"/>
  <c r="N102" i="3"/>
  <c r="O102" i="3"/>
  <c r="P102" i="3"/>
  <c r="N103" i="3"/>
  <c r="O103" i="3"/>
  <c r="P103" i="3"/>
  <c r="N104" i="3"/>
  <c r="O104" i="3"/>
  <c r="P104" i="3"/>
  <c r="N105" i="3"/>
  <c r="O105" i="3"/>
  <c r="P105" i="3"/>
  <c r="N106" i="3"/>
  <c r="O106" i="3"/>
  <c r="P106" i="3"/>
  <c r="N107" i="3"/>
  <c r="O107" i="3"/>
  <c r="P107" i="3"/>
  <c r="N108" i="3"/>
  <c r="O108" i="3"/>
  <c r="P108" i="3"/>
  <c r="N109" i="3"/>
  <c r="O109" i="3"/>
  <c r="P109" i="3"/>
  <c r="N110" i="3"/>
  <c r="O110" i="3"/>
  <c r="P110" i="3"/>
  <c r="N111" i="3"/>
  <c r="O111" i="3"/>
  <c r="P111" i="3"/>
  <c r="N112" i="3"/>
  <c r="O112" i="3"/>
  <c r="P112" i="3"/>
  <c r="N113" i="3"/>
  <c r="O113" i="3"/>
  <c r="P113" i="3"/>
  <c r="N114" i="3"/>
  <c r="O114" i="3"/>
  <c r="P114" i="3"/>
  <c r="N115" i="3"/>
  <c r="O115" i="3"/>
  <c r="P115" i="3"/>
  <c r="N116" i="3"/>
  <c r="O116" i="3"/>
  <c r="P116" i="3"/>
  <c r="N117" i="3"/>
  <c r="O117" i="3"/>
  <c r="P117" i="3"/>
  <c r="N118" i="3"/>
  <c r="O118" i="3"/>
  <c r="P118" i="3"/>
  <c r="N119" i="3"/>
  <c r="O119" i="3"/>
  <c r="P119" i="3"/>
  <c r="N120" i="3"/>
  <c r="O120" i="3"/>
  <c r="P120" i="3"/>
  <c r="N121" i="3"/>
  <c r="O121" i="3"/>
  <c r="P121" i="3"/>
  <c r="N122" i="3"/>
  <c r="O122" i="3"/>
  <c r="P122" i="3"/>
  <c r="N123" i="3"/>
  <c r="O123" i="3"/>
  <c r="P123" i="3"/>
  <c r="N124" i="3"/>
  <c r="O124" i="3"/>
  <c r="P124" i="3"/>
  <c r="N125" i="3"/>
  <c r="O125" i="3"/>
  <c r="P125" i="3"/>
  <c r="N126" i="3"/>
  <c r="O126" i="3"/>
  <c r="P126" i="3"/>
  <c r="N127" i="3"/>
  <c r="O127" i="3"/>
  <c r="P127" i="3"/>
  <c r="N128" i="3"/>
  <c r="O128" i="3"/>
  <c r="P128" i="3"/>
  <c r="N129" i="3"/>
  <c r="O129" i="3"/>
  <c r="P129" i="3"/>
  <c r="N130" i="3"/>
  <c r="O130" i="3"/>
  <c r="P130" i="3"/>
  <c r="N131" i="3"/>
  <c r="O131" i="3"/>
  <c r="P131" i="3"/>
  <c r="N132" i="3"/>
  <c r="O132" i="3"/>
  <c r="P132" i="3"/>
  <c r="N133" i="3"/>
  <c r="O133" i="3"/>
  <c r="P133" i="3"/>
  <c r="N134" i="3"/>
  <c r="O134" i="3"/>
  <c r="P134" i="3"/>
  <c r="N135" i="3"/>
  <c r="O135" i="3"/>
  <c r="P135" i="3"/>
  <c r="N136" i="3"/>
  <c r="O136" i="3"/>
  <c r="P136" i="3"/>
  <c r="N137" i="3"/>
  <c r="O137" i="3"/>
  <c r="P137" i="3"/>
  <c r="N138" i="3"/>
  <c r="O138" i="3"/>
  <c r="P138" i="3"/>
  <c r="N139" i="3"/>
  <c r="O139" i="3"/>
  <c r="P139" i="3"/>
  <c r="N140" i="3"/>
  <c r="O140" i="3"/>
  <c r="P140" i="3"/>
  <c r="N141" i="3"/>
  <c r="O141" i="3"/>
  <c r="P141" i="3"/>
  <c r="N142" i="3"/>
  <c r="O142" i="3"/>
  <c r="P142" i="3"/>
  <c r="N143" i="3"/>
  <c r="O143" i="3"/>
  <c r="P143" i="3"/>
  <c r="N144" i="3"/>
  <c r="O144" i="3"/>
  <c r="P144" i="3"/>
  <c r="N145" i="3"/>
  <c r="O145" i="3"/>
  <c r="P145" i="3"/>
  <c r="N146" i="3"/>
  <c r="O146" i="3"/>
  <c r="P146" i="3"/>
  <c r="N147" i="3"/>
  <c r="O147" i="3"/>
  <c r="P147" i="3"/>
  <c r="N148" i="3"/>
  <c r="O148" i="3"/>
  <c r="P148" i="3"/>
  <c r="N149" i="3"/>
  <c r="O149" i="3"/>
  <c r="P149" i="3"/>
  <c r="N150" i="3"/>
  <c r="O150" i="3"/>
  <c r="P150" i="3"/>
  <c r="N151" i="3"/>
  <c r="O151" i="3"/>
  <c r="P151" i="3"/>
  <c r="N152" i="3"/>
  <c r="O152" i="3"/>
  <c r="P152" i="3"/>
  <c r="N153" i="3"/>
  <c r="O153" i="3"/>
  <c r="P153" i="3"/>
  <c r="N154" i="3"/>
  <c r="O154" i="3"/>
  <c r="P154" i="3"/>
  <c r="N155" i="3"/>
  <c r="O155" i="3"/>
  <c r="P155" i="3"/>
  <c r="N156" i="3"/>
  <c r="O156" i="3"/>
  <c r="P156" i="3"/>
  <c r="N157" i="3"/>
  <c r="O157" i="3"/>
  <c r="P157" i="3"/>
  <c r="N158" i="3"/>
  <c r="O158" i="3"/>
  <c r="P158" i="3"/>
  <c r="N159" i="3"/>
  <c r="O159" i="3"/>
  <c r="P159" i="3"/>
  <c r="N160" i="3"/>
  <c r="O160" i="3"/>
  <c r="P160" i="3"/>
  <c r="N161" i="3"/>
  <c r="O161" i="3"/>
  <c r="P161" i="3"/>
  <c r="N162" i="3"/>
  <c r="O162" i="3"/>
  <c r="P162" i="3"/>
  <c r="N163" i="3"/>
  <c r="O163" i="3"/>
  <c r="P163" i="3"/>
  <c r="N164" i="3"/>
  <c r="O164" i="3"/>
  <c r="P164" i="3"/>
  <c r="N165" i="3"/>
  <c r="O165" i="3"/>
  <c r="P165" i="3"/>
  <c r="N166" i="3"/>
  <c r="O166" i="3"/>
  <c r="P166" i="3"/>
  <c r="N167" i="3"/>
  <c r="O167" i="3"/>
  <c r="P167" i="3"/>
  <c r="N168" i="3"/>
  <c r="O168" i="3"/>
  <c r="P168" i="3"/>
  <c r="N169" i="3"/>
  <c r="O169" i="3"/>
  <c r="P169" i="3"/>
  <c r="N170" i="3"/>
  <c r="O170" i="3"/>
  <c r="P170" i="3"/>
  <c r="N171" i="3"/>
  <c r="O171" i="3"/>
  <c r="P171" i="3"/>
  <c r="N172" i="3"/>
  <c r="O172" i="3"/>
  <c r="P172" i="3"/>
  <c r="N173" i="3"/>
  <c r="O173" i="3"/>
  <c r="P173" i="3"/>
  <c r="N174" i="3"/>
  <c r="O174" i="3"/>
  <c r="P174" i="3"/>
  <c r="N175" i="3"/>
  <c r="O175" i="3"/>
  <c r="P175" i="3"/>
  <c r="N176" i="3"/>
  <c r="O176" i="3"/>
  <c r="P176" i="3"/>
  <c r="N177" i="3"/>
  <c r="O177" i="3"/>
  <c r="P177" i="3"/>
  <c r="N178" i="3"/>
  <c r="O178" i="3"/>
  <c r="P178" i="3"/>
  <c r="N179" i="3"/>
  <c r="O179" i="3"/>
  <c r="P179" i="3"/>
  <c r="N180" i="3"/>
  <c r="O180" i="3"/>
  <c r="P180" i="3"/>
  <c r="N181" i="3"/>
  <c r="O181" i="3"/>
  <c r="P181" i="3"/>
  <c r="N182" i="3"/>
  <c r="O182" i="3"/>
  <c r="P182" i="3"/>
  <c r="N183" i="3"/>
  <c r="O183" i="3"/>
  <c r="P183" i="3"/>
  <c r="N184" i="3"/>
  <c r="O184" i="3"/>
  <c r="P184" i="3"/>
  <c r="N185" i="3"/>
  <c r="O185" i="3"/>
  <c r="P185" i="3"/>
  <c r="N186" i="3"/>
  <c r="O186" i="3"/>
  <c r="P186" i="3"/>
  <c r="N187" i="3"/>
  <c r="O187" i="3"/>
  <c r="P187" i="3"/>
  <c r="N188" i="3"/>
  <c r="O188" i="3"/>
  <c r="P188" i="3"/>
  <c r="N189" i="3"/>
  <c r="O189" i="3"/>
  <c r="P189" i="3"/>
  <c r="N190" i="3"/>
  <c r="O190" i="3"/>
  <c r="P190" i="3"/>
  <c r="N191" i="3"/>
  <c r="O191" i="3"/>
  <c r="P191" i="3"/>
  <c r="N192" i="3"/>
  <c r="O192" i="3"/>
  <c r="P192" i="3"/>
  <c r="N193" i="3"/>
  <c r="O193" i="3"/>
  <c r="P193" i="3"/>
  <c r="N194" i="3"/>
  <c r="O194" i="3"/>
  <c r="P194" i="3"/>
  <c r="N195" i="3"/>
  <c r="O195" i="3"/>
  <c r="P195" i="3"/>
  <c r="N196" i="3"/>
  <c r="O196" i="3"/>
  <c r="P196" i="3"/>
  <c r="N197" i="3"/>
  <c r="O197" i="3"/>
  <c r="P197" i="3"/>
  <c r="N198" i="3"/>
  <c r="O198" i="3"/>
  <c r="P198" i="3"/>
  <c r="N199" i="3"/>
  <c r="O199" i="3"/>
  <c r="P199" i="3"/>
  <c r="N200" i="3"/>
  <c r="O200" i="3"/>
  <c r="P200" i="3"/>
  <c r="N201" i="3"/>
  <c r="O201" i="3"/>
  <c r="P201" i="3"/>
  <c r="N202" i="3"/>
  <c r="O202" i="3"/>
  <c r="P202" i="3"/>
  <c r="N203" i="3"/>
  <c r="O203" i="3"/>
  <c r="P203" i="3"/>
  <c r="N204" i="3"/>
  <c r="O204" i="3"/>
  <c r="P204" i="3"/>
  <c r="N205" i="3"/>
  <c r="O205" i="3"/>
  <c r="P205" i="3"/>
  <c r="N206" i="3"/>
  <c r="O206" i="3"/>
  <c r="P206" i="3"/>
  <c r="N207" i="3"/>
  <c r="O207" i="3"/>
  <c r="P207" i="3"/>
  <c r="N208" i="3"/>
  <c r="O208" i="3"/>
  <c r="P208" i="3"/>
  <c r="N209" i="3"/>
  <c r="O209" i="3"/>
  <c r="P209" i="3"/>
  <c r="N210" i="3"/>
  <c r="O210" i="3"/>
  <c r="P210" i="3"/>
  <c r="N211" i="3"/>
  <c r="O211" i="3"/>
  <c r="P211" i="3"/>
  <c r="N212" i="3"/>
  <c r="O212" i="3"/>
  <c r="P212" i="3"/>
  <c r="N213" i="3"/>
  <c r="O213" i="3"/>
  <c r="P213" i="3"/>
  <c r="N214" i="3"/>
  <c r="O214" i="3"/>
  <c r="P214" i="3"/>
  <c r="N215" i="3"/>
  <c r="O215" i="3"/>
  <c r="P215" i="3"/>
  <c r="N216" i="3"/>
  <c r="O216" i="3"/>
  <c r="P216" i="3"/>
  <c r="N217" i="3"/>
  <c r="O217" i="3"/>
  <c r="P217" i="3"/>
  <c r="N218" i="3"/>
  <c r="O218" i="3"/>
  <c r="P218" i="3"/>
  <c r="N219" i="3"/>
  <c r="O219" i="3"/>
  <c r="P219" i="3"/>
  <c r="N220" i="3"/>
  <c r="O220" i="3"/>
  <c r="P220" i="3"/>
  <c r="N221" i="3"/>
  <c r="O221" i="3"/>
  <c r="P221" i="3"/>
  <c r="N222" i="3"/>
  <c r="O222" i="3"/>
  <c r="P222" i="3"/>
  <c r="N223" i="3"/>
  <c r="O223" i="3"/>
  <c r="P223" i="3"/>
  <c r="N224" i="3"/>
  <c r="O224" i="3"/>
  <c r="P224" i="3"/>
  <c r="N225" i="3"/>
  <c r="O225" i="3"/>
  <c r="P225" i="3"/>
  <c r="N226" i="3"/>
  <c r="O226" i="3"/>
  <c r="P226" i="3"/>
  <c r="N227" i="3"/>
  <c r="O227" i="3"/>
  <c r="P227" i="3"/>
  <c r="N228" i="3"/>
  <c r="O228" i="3"/>
  <c r="P228" i="3"/>
  <c r="N229" i="3"/>
  <c r="O229" i="3"/>
  <c r="P229" i="3"/>
  <c r="N230" i="3"/>
  <c r="O230" i="3"/>
  <c r="P230" i="3"/>
  <c r="N231" i="3"/>
  <c r="O231" i="3"/>
  <c r="P231" i="3"/>
  <c r="N232" i="3"/>
  <c r="O232" i="3"/>
  <c r="P232" i="3"/>
  <c r="N233" i="3"/>
  <c r="O233" i="3"/>
  <c r="P233" i="3"/>
  <c r="N234" i="3"/>
  <c r="O234" i="3"/>
  <c r="P234" i="3"/>
  <c r="N235" i="3"/>
  <c r="O235" i="3"/>
  <c r="P235" i="3"/>
  <c r="N236" i="3"/>
  <c r="O236" i="3"/>
  <c r="P236" i="3"/>
  <c r="N237" i="3"/>
  <c r="O237" i="3"/>
  <c r="P237" i="3"/>
  <c r="N238" i="3"/>
  <c r="O238" i="3"/>
  <c r="P238" i="3"/>
  <c r="N239" i="3"/>
  <c r="O239" i="3"/>
  <c r="P239" i="3"/>
  <c r="N240" i="3"/>
  <c r="O240" i="3"/>
  <c r="P240" i="3"/>
  <c r="N241" i="3"/>
  <c r="O241" i="3"/>
  <c r="P241" i="3"/>
  <c r="N242" i="3"/>
  <c r="O242" i="3"/>
  <c r="P242" i="3"/>
  <c r="N243" i="3"/>
  <c r="O243" i="3"/>
  <c r="P243" i="3"/>
  <c r="N244" i="3"/>
  <c r="O244" i="3"/>
  <c r="P244" i="3"/>
  <c r="N245" i="3"/>
  <c r="O245" i="3"/>
  <c r="P245" i="3"/>
  <c r="N246" i="3"/>
  <c r="O246" i="3"/>
  <c r="P246" i="3"/>
  <c r="N247" i="3"/>
  <c r="O247" i="3"/>
  <c r="P247" i="3"/>
  <c r="N248" i="3"/>
  <c r="O248" i="3"/>
  <c r="P248" i="3"/>
  <c r="N249" i="3"/>
  <c r="O249" i="3"/>
  <c r="P249" i="3"/>
  <c r="N250" i="3"/>
  <c r="O250" i="3"/>
  <c r="P250" i="3"/>
  <c r="N251" i="3"/>
  <c r="O251" i="3"/>
  <c r="P251" i="3"/>
  <c r="N252" i="3"/>
  <c r="O252" i="3"/>
  <c r="P252" i="3"/>
  <c r="N253" i="3"/>
  <c r="O253" i="3"/>
  <c r="P253" i="3"/>
  <c r="N254" i="3"/>
  <c r="O254" i="3"/>
  <c r="P254" i="3"/>
  <c r="N255" i="3"/>
  <c r="O255" i="3"/>
  <c r="P255" i="3"/>
  <c r="N256" i="3"/>
  <c r="O256" i="3"/>
  <c r="P256" i="3"/>
  <c r="N257" i="3"/>
  <c r="O257" i="3"/>
  <c r="P257" i="3"/>
  <c r="N258" i="3"/>
  <c r="O258" i="3"/>
  <c r="P258" i="3"/>
  <c r="N259" i="3"/>
  <c r="O259" i="3"/>
  <c r="P259" i="3"/>
  <c r="N260" i="3"/>
  <c r="O260" i="3"/>
  <c r="P260" i="3"/>
  <c r="N261" i="3"/>
  <c r="O261" i="3"/>
  <c r="P261" i="3"/>
  <c r="N262" i="3"/>
  <c r="O262" i="3"/>
  <c r="P262" i="3"/>
  <c r="N263" i="3"/>
  <c r="O263" i="3"/>
  <c r="P263" i="3"/>
  <c r="N264" i="3"/>
  <c r="O264" i="3"/>
  <c r="P264" i="3"/>
  <c r="N265" i="3"/>
  <c r="O265" i="3"/>
  <c r="P265" i="3"/>
  <c r="N266" i="3"/>
  <c r="O266" i="3"/>
  <c r="P266" i="3"/>
  <c r="N267" i="3"/>
  <c r="O267" i="3"/>
  <c r="P267" i="3"/>
  <c r="N268" i="3"/>
  <c r="O268" i="3"/>
  <c r="P268" i="3"/>
  <c r="N269" i="3"/>
  <c r="O269" i="3"/>
  <c r="P269" i="3"/>
  <c r="N270" i="3"/>
  <c r="O270" i="3"/>
  <c r="P270" i="3"/>
  <c r="N271" i="3"/>
  <c r="O271" i="3"/>
  <c r="P271" i="3"/>
  <c r="N272" i="3"/>
  <c r="O272" i="3"/>
  <c r="P272" i="3"/>
  <c r="N273" i="3"/>
  <c r="O273" i="3"/>
  <c r="P273" i="3"/>
  <c r="N274" i="3"/>
  <c r="O274" i="3"/>
  <c r="P274" i="3"/>
  <c r="N275" i="3"/>
  <c r="O275" i="3"/>
  <c r="P275" i="3"/>
  <c r="N276" i="3"/>
  <c r="O276" i="3"/>
  <c r="P276" i="3"/>
  <c r="N277" i="3"/>
  <c r="O277" i="3"/>
  <c r="P277" i="3"/>
  <c r="N278" i="3"/>
  <c r="O278" i="3"/>
  <c r="P278" i="3"/>
  <c r="N279" i="3"/>
  <c r="O279" i="3"/>
  <c r="P279" i="3"/>
  <c r="N280" i="3"/>
  <c r="O280" i="3"/>
  <c r="P280" i="3"/>
  <c r="N281" i="3"/>
  <c r="O281" i="3"/>
  <c r="P281" i="3"/>
  <c r="N282" i="3"/>
  <c r="O282" i="3"/>
  <c r="P282" i="3"/>
  <c r="N283" i="3"/>
  <c r="O283" i="3"/>
  <c r="P283" i="3"/>
  <c r="N284" i="3"/>
  <c r="O284" i="3"/>
  <c r="P284" i="3"/>
  <c r="N285" i="3"/>
  <c r="O285" i="3"/>
  <c r="P285" i="3"/>
  <c r="N286" i="3"/>
  <c r="O286" i="3"/>
  <c r="P286" i="3"/>
  <c r="N287" i="3"/>
  <c r="O287" i="3"/>
  <c r="P287" i="3"/>
  <c r="N288" i="3"/>
  <c r="O288" i="3"/>
  <c r="P288" i="3"/>
  <c r="N289" i="3"/>
  <c r="O289" i="3"/>
  <c r="P289" i="3"/>
  <c r="N290" i="3"/>
  <c r="O290" i="3"/>
  <c r="P290" i="3"/>
  <c r="N291" i="3"/>
  <c r="O291" i="3"/>
  <c r="P291" i="3"/>
  <c r="N292" i="3"/>
  <c r="O292" i="3"/>
  <c r="P292" i="3"/>
  <c r="N293" i="3"/>
  <c r="O293" i="3"/>
  <c r="P293" i="3"/>
  <c r="N294" i="3"/>
  <c r="O294" i="3"/>
  <c r="P294" i="3"/>
  <c r="N295" i="3"/>
  <c r="O295" i="3"/>
  <c r="P295" i="3"/>
  <c r="N296" i="3"/>
  <c r="O296" i="3"/>
  <c r="P296" i="3"/>
  <c r="N297" i="3"/>
  <c r="O297" i="3"/>
  <c r="P297" i="3"/>
  <c r="N298" i="3"/>
  <c r="O298" i="3"/>
  <c r="P298" i="3"/>
  <c r="N299" i="3"/>
  <c r="O299" i="3"/>
  <c r="P299" i="3"/>
  <c r="N300" i="3"/>
  <c r="O300" i="3"/>
  <c r="P300" i="3"/>
  <c r="N301" i="3"/>
  <c r="O301" i="3"/>
  <c r="P301" i="3"/>
  <c r="O8" i="3"/>
  <c r="N8" i="3"/>
  <c r="S6" i="53"/>
  <c r="T6" i="53"/>
  <c r="U6" i="53"/>
  <c r="V6" i="53"/>
  <c r="B301" i="55"/>
  <c r="A301" i="55"/>
  <c r="N301" i="55" s="1"/>
  <c r="B300" i="55"/>
  <c r="A300" i="55"/>
  <c r="N300" i="55" s="1"/>
  <c r="B299" i="55"/>
  <c r="A299" i="55"/>
  <c r="N299" i="55" s="1"/>
  <c r="B298" i="55"/>
  <c r="A298" i="55"/>
  <c r="N298" i="55" s="1"/>
  <c r="B297" i="55"/>
  <c r="A297" i="55"/>
  <c r="N297" i="55" s="1"/>
  <c r="B296" i="55"/>
  <c r="A296" i="55"/>
  <c r="N296" i="55" s="1"/>
  <c r="B295" i="55"/>
  <c r="A295" i="55"/>
  <c r="N295" i="55" s="1"/>
  <c r="B294" i="55"/>
  <c r="A294" i="55"/>
  <c r="N294" i="55" s="1"/>
  <c r="B293" i="55"/>
  <c r="A293" i="55"/>
  <c r="N293" i="55" s="1"/>
  <c r="B292" i="55"/>
  <c r="A292" i="55"/>
  <c r="N292" i="55" s="1"/>
  <c r="B291" i="55"/>
  <c r="A291" i="55"/>
  <c r="N291" i="55" s="1"/>
  <c r="B290" i="55"/>
  <c r="A290" i="55"/>
  <c r="N290" i="55" s="1"/>
  <c r="B289" i="55"/>
  <c r="A289" i="55"/>
  <c r="N289" i="55" s="1"/>
  <c r="B288" i="55"/>
  <c r="A288" i="55"/>
  <c r="N288" i="55" s="1"/>
  <c r="B287" i="55"/>
  <c r="A287" i="55"/>
  <c r="N287" i="55" s="1"/>
  <c r="B286" i="55"/>
  <c r="A286" i="55"/>
  <c r="N286" i="55" s="1"/>
  <c r="B285" i="55"/>
  <c r="A285" i="55"/>
  <c r="N285" i="55" s="1"/>
  <c r="B284" i="55"/>
  <c r="A284" i="55"/>
  <c r="N284" i="55" s="1"/>
  <c r="B283" i="55"/>
  <c r="A283" i="55"/>
  <c r="N283" i="55" s="1"/>
  <c r="B282" i="55"/>
  <c r="A282" i="55"/>
  <c r="N282" i="55" s="1"/>
  <c r="B281" i="55"/>
  <c r="A281" i="55"/>
  <c r="N281" i="55" s="1"/>
  <c r="B280" i="55"/>
  <c r="A280" i="55"/>
  <c r="N280" i="55" s="1"/>
  <c r="B279" i="55"/>
  <c r="A279" i="55"/>
  <c r="N279" i="55" s="1"/>
  <c r="B278" i="55"/>
  <c r="A278" i="55"/>
  <c r="N278" i="55" s="1"/>
  <c r="B277" i="55"/>
  <c r="A277" i="55"/>
  <c r="N277" i="55" s="1"/>
  <c r="B276" i="55"/>
  <c r="A276" i="55"/>
  <c r="N276" i="55" s="1"/>
  <c r="B275" i="55"/>
  <c r="A275" i="55"/>
  <c r="N275" i="55" s="1"/>
  <c r="B274" i="55"/>
  <c r="A274" i="55"/>
  <c r="N274" i="55" s="1"/>
  <c r="B273" i="55"/>
  <c r="A273" i="55"/>
  <c r="N273" i="55" s="1"/>
  <c r="B272" i="55"/>
  <c r="A272" i="55"/>
  <c r="N272" i="55" s="1"/>
  <c r="B271" i="55"/>
  <c r="A271" i="55"/>
  <c r="N271" i="55" s="1"/>
  <c r="B270" i="55"/>
  <c r="A270" i="55"/>
  <c r="N270" i="55" s="1"/>
  <c r="B269" i="55"/>
  <c r="A269" i="55"/>
  <c r="N269" i="55" s="1"/>
  <c r="B268" i="55"/>
  <c r="A268" i="55"/>
  <c r="N268" i="55" s="1"/>
  <c r="B267" i="55"/>
  <c r="A267" i="55"/>
  <c r="N267" i="55" s="1"/>
  <c r="B266" i="55"/>
  <c r="A266" i="55"/>
  <c r="N266" i="55" s="1"/>
  <c r="B265" i="55"/>
  <c r="A265" i="55"/>
  <c r="N265" i="55" s="1"/>
  <c r="B264" i="55"/>
  <c r="A264" i="55"/>
  <c r="N264" i="55" s="1"/>
  <c r="B263" i="55"/>
  <c r="A263" i="55"/>
  <c r="N263" i="55" s="1"/>
  <c r="B262" i="55"/>
  <c r="A262" i="55"/>
  <c r="N262" i="55" s="1"/>
  <c r="B261" i="55"/>
  <c r="A261" i="55"/>
  <c r="N261" i="55" s="1"/>
  <c r="B260" i="55"/>
  <c r="A260" i="55"/>
  <c r="N260" i="55" s="1"/>
  <c r="B259" i="55"/>
  <c r="A259" i="55"/>
  <c r="N259" i="55" s="1"/>
  <c r="B258" i="55"/>
  <c r="A258" i="55"/>
  <c r="N258" i="55" s="1"/>
  <c r="B257" i="55"/>
  <c r="A257" i="55"/>
  <c r="N257" i="55" s="1"/>
  <c r="B256" i="55"/>
  <c r="A256" i="55"/>
  <c r="N256" i="55" s="1"/>
  <c r="B255" i="55"/>
  <c r="A255" i="55"/>
  <c r="N255" i="55" s="1"/>
  <c r="B254" i="55"/>
  <c r="A254" i="55"/>
  <c r="N254" i="55" s="1"/>
  <c r="B253" i="55"/>
  <c r="A253" i="55"/>
  <c r="N253" i="55" s="1"/>
  <c r="B252" i="55"/>
  <c r="A252" i="55"/>
  <c r="N252" i="55" s="1"/>
  <c r="B251" i="55"/>
  <c r="A251" i="55"/>
  <c r="N251" i="55" s="1"/>
  <c r="B250" i="55"/>
  <c r="N250" i="55"/>
  <c r="B249" i="55"/>
  <c r="A249" i="55"/>
  <c r="N249" i="55" s="1"/>
  <c r="B248" i="55"/>
  <c r="A248" i="55"/>
  <c r="N248" i="55" s="1"/>
  <c r="B247" i="55"/>
  <c r="A247" i="55"/>
  <c r="N247" i="55" s="1"/>
  <c r="B246" i="55"/>
  <c r="A246" i="55"/>
  <c r="N246" i="55" s="1"/>
  <c r="B245" i="55"/>
  <c r="A245" i="55"/>
  <c r="N245" i="55" s="1"/>
  <c r="B244" i="55"/>
  <c r="A244" i="55"/>
  <c r="N244" i="55" s="1"/>
  <c r="B243" i="55"/>
  <c r="A243" i="55"/>
  <c r="N243" i="55" s="1"/>
  <c r="B242" i="55"/>
  <c r="A242" i="55"/>
  <c r="N242" i="55" s="1"/>
  <c r="B241" i="55"/>
  <c r="A241" i="55"/>
  <c r="N241" i="55" s="1"/>
  <c r="B240" i="55"/>
  <c r="A240" i="55"/>
  <c r="N240" i="55" s="1"/>
  <c r="B239" i="55"/>
  <c r="A239" i="55"/>
  <c r="N239" i="55" s="1"/>
  <c r="B238" i="55"/>
  <c r="A238" i="55"/>
  <c r="N238" i="55" s="1"/>
  <c r="B237" i="55"/>
  <c r="A237" i="55"/>
  <c r="N237" i="55" s="1"/>
  <c r="B236" i="55"/>
  <c r="A236" i="55"/>
  <c r="N236" i="55" s="1"/>
  <c r="B235" i="55"/>
  <c r="A235" i="55"/>
  <c r="N235" i="55" s="1"/>
  <c r="B234" i="55"/>
  <c r="A234" i="55"/>
  <c r="N234" i="55" s="1"/>
  <c r="B233" i="55"/>
  <c r="A233" i="55"/>
  <c r="N233" i="55" s="1"/>
  <c r="B232" i="55"/>
  <c r="A232" i="55"/>
  <c r="N232" i="55" s="1"/>
  <c r="B231" i="55"/>
  <c r="A231" i="55"/>
  <c r="N231" i="55" s="1"/>
  <c r="B230" i="55"/>
  <c r="A230" i="55"/>
  <c r="N230" i="55" s="1"/>
  <c r="B229" i="55"/>
  <c r="A229" i="55"/>
  <c r="N229" i="55" s="1"/>
  <c r="B228" i="55"/>
  <c r="A228" i="55"/>
  <c r="N228" i="55" s="1"/>
  <c r="B227" i="55"/>
  <c r="A227" i="55"/>
  <c r="N227" i="55" s="1"/>
  <c r="B226" i="55"/>
  <c r="A226" i="55"/>
  <c r="N226" i="55" s="1"/>
  <c r="B225" i="55"/>
  <c r="A225" i="55"/>
  <c r="N225" i="55" s="1"/>
  <c r="B224" i="55"/>
  <c r="A224" i="55"/>
  <c r="N224" i="55" s="1"/>
  <c r="B223" i="55"/>
  <c r="A223" i="55"/>
  <c r="N223" i="55" s="1"/>
  <c r="B222" i="55"/>
  <c r="A222" i="55"/>
  <c r="N222" i="55" s="1"/>
  <c r="B221" i="55"/>
  <c r="A221" i="55"/>
  <c r="N221" i="55" s="1"/>
  <c r="B220" i="55"/>
  <c r="A220" i="55"/>
  <c r="N220" i="55" s="1"/>
  <c r="B219" i="55"/>
  <c r="A219" i="55"/>
  <c r="N219" i="55" s="1"/>
  <c r="B218" i="55"/>
  <c r="A218" i="55"/>
  <c r="N218" i="55" s="1"/>
  <c r="B217" i="55"/>
  <c r="A217" i="55"/>
  <c r="N217" i="55" s="1"/>
  <c r="B216" i="55"/>
  <c r="A216" i="55"/>
  <c r="N216" i="55" s="1"/>
  <c r="B215" i="55"/>
  <c r="A215" i="55"/>
  <c r="N215" i="55" s="1"/>
  <c r="B214" i="55"/>
  <c r="A214" i="55"/>
  <c r="N214" i="55" s="1"/>
  <c r="B213" i="55"/>
  <c r="A213" i="55"/>
  <c r="N213" i="55" s="1"/>
  <c r="B212" i="55"/>
  <c r="A212" i="55"/>
  <c r="N212" i="55" s="1"/>
  <c r="B211" i="55"/>
  <c r="A211" i="55"/>
  <c r="N211" i="55" s="1"/>
  <c r="B210" i="55"/>
  <c r="A210" i="55"/>
  <c r="N210" i="55" s="1"/>
  <c r="B209" i="55"/>
  <c r="A209" i="55"/>
  <c r="N209" i="55" s="1"/>
  <c r="B208" i="55"/>
  <c r="A208" i="55"/>
  <c r="N208" i="55" s="1"/>
  <c r="B207" i="55"/>
  <c r="A207" i="55"/>
  <c r="N207" i="55" s="1"/>
  <c r="B206" i="55"/>
  <c r="A206" i="55"/>
  <c r="N206" i="55" s="1"/>
  <c r="B205" i="55"/>
  <c r="A205" i="55"/>
  <c r="N205" i="55" s="1"/>
  <c r="B204" i="55"/>
  <c r="A204" i="55"/>
  <c r="N204" i="55" s="1"/>
  <c r="B203" i="55"/>
  <c r="A203" i="55"/>
  <c r="N203" i="55" s="1"/>
  <c r="B202" i="55"/>
  <c r="A202" i="55"/>
  <c r="N202" i="55" s="1"/>
  <c r="B201" i="55"/>
  <c r="A201" i="55"/>
  <c r="N201" i="55" s="1"/>
  <c r="B200" i="55"/>
  <c r="A200" i="55"/>
  <c r="N200" i="55" s="1"/>
  <c r="B199" i="55"/>
  <c r="A199" i="55"/>
  <c r="N199" i="55" s="1"/>
  <c r="B198" i="55"/>
  <c r="A198" i="55"/>
  <c r="N198" i="55" s="1"/>
  <c r="B197" i="55"/>
  <c r="A197" i="55"/>
  <c r="N197" i="55" s="1"/>
  <c r="B196" i="55"/>
  <c r="A196" i="55"/>
  <c r="N196" i="55" s="1"/>
  <c r="B195" i="55"/>
  <c r="A195" i="55"/>
  <c r="N195" i="55" s="1"/>
  <c r="B194" i="55"/>
  <c r="A194" i="55"/>
  <c r="N194" i="55" s="1"/>
  <c r="B193" i="55"/>
  <c r="A193" i="55"/>
  <c r="N193" i="55" s="1"/>
  <c r="B192" i="55"/>
  <c r="A192" i="55"/>
  <c r="N192" i="55" s="1"/>
  <c r="B191" i="55"/>
  <c r="A191" i="55"/>
  <c r="N191" i="55" s="1"/>
  <c r="B190" i="55"/>
  <c r="A190" i="55"/>
  <c r="N190" i="55" s="1"/>
  <c r="B189" i="55"/>
  <c r="A189" i="55"/>
  <c r="N189" i="55" s="1"/>
  <c r="B188" i="55"/>
  <c r="A188" i="55"/>
  <c r="N188" i="55" s="1"/>
  <c r="B187" i="55"/>
  <c r="A187" i="55"/>
  <c r="N187" i="55" s="1"/>
  <c r="B186" i="55"/>
  <c r="A186" i="55"/>
  <c r="N186" i="55" s="1"/>
  <c r="B185" i="55"/>
  <c r="A185" i="55"/>
  <c r="N185" i="55" s="1"/>
  <c r="B184" i="55"/>
  <c r="A184" i="55"/>
  <c r="N184" i="55" s="1"/>
  <c r="B183" i="55"/>
  <c r="A183" i="55"/>
  <c r="N183" i="55" s="1"/>
  <c r="B182" i="55"/>
  <c r="A182" i="55"/>
  <c r="N182" i="55" s="1"/>
  <c r="B181" i="55"/>
  <c r="A181" i="55"/>
  <c r="N181" i="55" s="1"/>
  <c r="B180" i="55"/>
  <c r="A180" i="55"/>
  <c r="N180" i="55" s="1"/>
  <c r="B179" i="55"/>
  <c r="A179" i="55"/>
  <c r="N179" i="55" s="1"/>
  <c r="B178" i="55"/>
  <c r="A178" i="55"/>
  <c r="N178" i="55" s="1"/>
  <c r="B177" i="55"/>
  <c r="A177" i="55"/>
  <c r="N177" i="55" s="1"/>
  <c r="B176" i="55"/>
  <c r="A176" i="55"/>
  <c r="N176" i="55" s="1"/>
  <c r="B175" i="55"/>
  <c r="A175" i="55"/>
  <c r="N175" i="55" s="1"/>
  <c r="B174" i="55"/>
  <c r="A174" i="55"/>
  <c r="N174" i="55" s="1"/>
  <c r="B173" i="55"/>
  <c r="A173" i="55"/>
  <c r="N173" i="55" s="1"/>
  <c r="B172" i="55"/>
  <c r="A172" i="55"/>
  <c r="N172" i="55" s="1"/>
  <c r="B171" i="55"/>
  <c r="A171" i="55"/>
  <c r="N171" i="55" s="1"/>
  <c r="B170" i="55"/>
  <c r="A170" i="55"/>
  <c r="N170" i="55" s="1"/>
  <c r="B169" i="55"/>
  <c r="A169" i="55"/>
  <c r="N169" i="55" s="1"/>
  <c r="B168" i="55"/>
  <c r="A168" i="55"/>
  <c r="N168" i="55" s="1"/>
  <c r="B167" i="55"/>
  <c r="A167" i="55"/>
  <c r="N167" i="55" s="1"/>
  <c r="B166" i="55"/>
  <c r="A166" i="55"/>
  <c r="N166" i="55" s="1"/>
  <c r="B165" i="55"/>
  <c r="A165" i="55"/>
  <c r="N165" i="55" s="1"/>
  <c r="B164" i="55"/>
  <c r="A164" i="55"/>
  <c r="N164" i="55" s="1"/>
  <c r="B163" i="55"/>
  <c r="A163" i="55"/>
  <c r="N163" i="55" s="1"/>
  <c r="B162" i="55"/>
  <c r="A162" i="55"/>
  <c r="N162" i="55" s="1"/>
  <c r="B161" i="55"/>
  <c r="A161" i="55"/>
  <c r="N161" i="55" s="1"/>
  <c r="B160" i="55"/>
  <c r="A160" i="55"/>
  <c r="N160" i="55" s="1"/>
  <c r="B159" i="55"/>
  <c r="A159" i="55"/>
  <c r="N159" i="55" s="1"/>
  <c r="B158" i="55"/>
  <c r="A158" i="55"/>
  <c r="N158" i="55" s="1"/>
  <c r="B157" i="55"/>
  <c r="A157" i="55"/>
  <c r="N157" i="55" s="1"/>
  <c r="B156" i="55"/>
  <c r="A156" i="55"/>
  <c r="N156" i="55" s="1"/>
  <c r="B155" i="55"/>
  <c r="A155" i="55"/>
  <c r="N155" i="55" s="1"/>
  <c r="B154" i="55"/>
  <c r="A154" i="55"/>
  <c r="N154" i="55" s="1"/>
  <c r="B153" i="55"/>
  <c r="A153" i="55"/>
  <c r="N153" i="55" s="1"/>
  <c r="B152" i="55"/>
  <c r="A152" i="55"/>
  <c r="N152" i="55" s="1"/>
  <c r="B151" i="55"/>
  <c r="A151" i="55"/>
  <c r="N151" i="55" s="1"/>
  <c r="B150" i="55"/>
  <c r="A150" i="55"/>
  <c r="N150" i="55" s="1"/>
  <c r="B149" i="55"/>
  <c r="A149" i="55"/>
  <c r="N149" i="55" s="1"/>
  <c r="B148" i="55"/>
  <c r="A148" i="55"/>
  <c r="N148" i="55" s="1"/>
  <c r="B147" i="55"/>
  <c r="A147" i="55"/>
  <c r="N147" i="55" s="1"/>
  <c r="B146" i="55"/>
  <c r="A146" i="55"/>
  <c r="N146" i="55" s="1"/>
  <c r="B145" i="55"/>
  <c r="A145" i="55"/>
  <c r="N145" i="55" s="1"/>
  <c r="B144" i="55"/>
  <c r="A144" i="55"/>
  <c r="N144" i="55" s="1"/>
  <c r="B143" i="55"/>
  <c r="A143" i="55"/>
  <c r="N143" i="55" s="1"/>
  <c r="B142" i="55"/>
  <c r="A142" i="55"/>
  <c r="N142" i="55" s="1"/>
  <c r="B141" i="55"/>
  <c r="A141" i="55"/>
  <c r="N141" i="55" s="1"/>
  <c r="B140" i="55"/>
  <c r="A140" i="55"/>
  <c r="N140" i="55" s="1"/>
  <c r="B139" i="55"/>
  <c r="A139" i="55"/>
  <c r="N139" i="55" s="1"/>
  <c r="B138" i="55"/>
  <c r="A138" i="55"/>
  <c r="N138" i="55" s="1"/>
  <c r="B137" i="55"/>
  <c r="A137" i="55"/>
  <c r="N137" i="55" s="1"/>
  <c r="B136" i="55"/>
  <c r="A136" i="55"/>
  <c r="N136" i="55" s="1"/>
  <c r="B135" i="55"/>
  <c r="A135" i="55"/>
  <c r="N135" i="55" s="1"/>
  <c r="B134" i="55"/>
  <c r="A134" i="55"/>
  <c r="N134" i="55" s="1"/>
  <c r="B133" i="55"/>
  <c r="A133" i="55"/>
  <c r="N133" i="55" s="1"/>
  <c r="B132" i="55"/>
  <c r="A132" i="55"/>
  <c r="N132" i="55" s="1"/>
  <c r="B131" i="55"/>
  <c r="A131" i="55"/>
  <c r="N131" i="55" s="1"/>
  <c r="B130" i="55"/>
  <c r="A130" i="55"/>
  <c r="N130" i="55" s="1"/>
  <c r="B129" i="55"/>
  <c r="A129" i="55"/>
  <c r="N129" i="55" s="1"/>
  <c r="B128" i="55"/>
  <c r="A128" i="55"/>
  <c r="N128" i="55" s="1"/>
  <c r="B127" i="55"/>
  <c r="A127" i="55"/>
  <c r="N127" i="55" s="1"/>
  <c r="B126" i="55"/>
  <c r="A126" i="55"/>
  <c r="N126" i="55" s="1"/>
  <c r="B125" i="55"/>
  <c r="A125" i="55"/>
  <c r="N125" i="55" s="1"/>
  <c r="B124" i="55"/>
  <c r="A124" i="55"/>
  <c r="N124" i="55" s="1"/>
  <c r="B123" i="55"/>
  <c r="A123" i="55"/>
  <c r="N123" i="55" s="1"/>
  <c r="B122" i="55"/>
  <c r="A122" i="55"/>
  <c r="N122" i="55" s="1"/>
  <c r="B121" i="55"/>
  <c r="A121" i="55"/>
  <c r="N121" i="55" s="1"/>
  <c r="B120" i="55"/>
  <c r="A120" i="55"/>
  <c r="N120" i="55" s="1"/>
  <c r="B119" i="55"/>
  <c r="A119" i="55"/>
  <c r="N119" i="55" s="1"/>
  <c r="B118" i="55"/>
  <c r="A118" i="55"/>
  <c r="N118" i="55" s="1"/>
  <c r="B117" i="55"/>
  <c r="A117" i="55"/>
  <c r="N117" i="55" s="1"/>
  <c r="B116" i="55"/>
  <c r="A116" i="55"/>
  <c r="N116" i="55" s="1"/>
  <c r="B115" i="55"/>
  <c r="A115" i="55"/>
  <c r="N115" i="55" s="1"/>
  <c r="B114" i="55"/>
  <c r="A114" i="55"/>
  <c r="N114" i="55" s="1"/>
  <c r="B113" i="55"/>
  <c r="A113" i="55"/>
  <c r="N113" i="55" s="1"/>
  <c r="B112" i="55"/>
  <c r="A112" i="55"/>
  <c r="N112" i="55" s="1"/>
  <c r="B111" i="55"/>
  <c r="A111" i="55"/>
  <c r="N111" i="55" s="1"/>
  <c r="B110" i="55"/>
  <c r="A110" i="55"/>
  <c r="N110" i="55" s="1"/>
  <c r="B109" i="55"/>
  <c r="A109" i="55"/>
  <c r="N109" i="55" s="1"/>
  <c r="B108" i="55"/>
  <c r="A108" i="55"/>
  <c r="N108" i="55" s="1"/>
  <c r="B107" i="55"/>
  <c r="A107" i="55"/>
  <c r="N107" i="55" s="1"/>
  <c r="B106" i="55"/>
  <c r="A106" i="55"/>
  <c r="N106" i="55" s="1"/>
  <c r="B105" i="55"/>
  <c r="A105" i="55"/>
  <c r="N105" i="55" s="1"/>
  <c r="B104" i="55"/>
  <c r="A104" i="55"/>
  <c r="N104" i="55" s="1"/>
  <c r="B103" i="55"/>
  <c r="A103" i="55"/>
  <c r="N103" i="55" s="1"/>
  <c r="B102" i="55"/>
  <c r="A102" i="55"/>
  <c r="N102" i="55" s="1"/>
  <c r="B101" i="55"/>
  <c r="A101" i="55"/>
  <c r="N101" i="55" s="1"/>
  <c r="B100" i="55"/>
  <c r="A100" i="55"/>
  <c r="N100" i="55" s="1"/>
  <c r="B99" i="55"/>
  <c r="A99" i="55"/>
  <c r="N99" i="55" s="1"/>
  <c r="B98" i="55"/>
  <c r="A98" i="55"/>
  <c r="N98" i="55" s="1"/>
  <c r="B97" i="55"/>
  <c r="A97" i="55"/>
  <c r="N97" i="55" s="1"/>
  <c r="B96" i="55"/>
  <c r="A96" i="55"/>
  <c r="N96" i="55" s="1"/>
  <c r="B95" i="55"/>
  <c r="A95" i="55"/>
  <c r="N95" i="55" s="1"/>
  <c r="B94" i="55"/>
  <c r="A94" i="55"/>
  <c r="N94" i="55" s="1"/>
  <c r="B93" i="55"/>
  <c r="A93" i="55"/>
  <c r="N93" i="55" s="1"/>
  <c r="B92" i="55"/>
  <c r="A92" i="55"/>
  <c r="N92" i="55" s="1"/>
  <c r="B91" i="55"/>
  <c r="A91" i="55"/>
  <c r="N91" i="55" s="1"/>
  <c r="B90" i="55"/>
  <c r="A90" i="55"/>
  <c r="N90" i="55" s="1"/>
  <c r="B89" i="55"/>
  <c r="A89" i="55"/>
  <c r="N89" i="55" s="1"/>
  <c r="B88" i="55"/>
  <c r="A88" i="55"/>
  <c r="N88" i="55" s="1"/>
  <c r="B87" i="55"/>
  <c r="A87" i="55"/>
  <c r="N87" i="55" s="1"/>
  <c r="B86" i="55"/>
  <c r="A86" i="55"/>
  <c r="N86" i="55" s="1"/>
  <c r="B85" i="55"/>
  <c r="A85" i="55"/>
  <c r="N85" i="55" s="1"/>
  <c r="B84" i="55"/>
  <c r="A84" i="55"/>
  <c r="N84" i="55" s="1"/>
  <c r="B83" i="55"/>
  <c r="A83" i="55"/>
  <c r="N83" i="55" s="1"/>
  <c r="B82" i="55"/>
  <c r="A82" i="55"/>
  <c r="N82" i="55" s="1"/>
  <c r="B81" i="55"/>
  <c r="A81" i="55"/>
  <c r="N81" i="55" s="1"/>
  <c r="B80" i="55"/>
  <c r="A80" i="55"/>
  <c r="N80" i="55" s="1"/>
  <c r="B79" i="55"/>
  <c r="A79" i="55"/>
  <c r="N79" i="55" s="1"/>
  <c r="B78" i="55"/>
  <c r="A78" i="55"/>
  <c r="N78" i="55" s="1"/>
  <c r="B77" i="55"/>
  <c r="A77" i="55"/>
  <c r="N77" i="55" s="1"/>
  <c r="B76" i="55"/>
  <c r="A76" i="55"/>
  <c r="N76" i="55" s="1"/>
  <c r="B75" i="55"/>
  <c r="A75" i="55"/>
  <c r="N75" i="55" s="1"/>
  <c r="B74" i="55"/>
  <c r="A74" i="55"/>
  <c r="N74" i="55" s="1"/>
  <c r="B73" i="55"/>
  <c r="A73" i="55"/>
  <c r="N73" i="55" s="1"/>
  <c r="B72" i="55"/>
  <c r="A72" i="55"/>
  <c r="N72" i="55" s="1"/>
  <c r="B71" i="55"/>
  <c r="A71" i="55"/>
  <c r="N71" i="55" s="1"/>
  <c r="B70" i="55"/>
  <c r="A70" i="55"/>
  <c r="N70" i="55" s="1"/>
  <c r="B69" i="55"/>
  <c r="A69" i="55"/>
  <c r="N69" i="55" s="1"/>
  <c r="B68" i="55"/>
  <c r="A68" i="55"/>
  <c r="N68" i="55" s="1"/>
  <c r="B67" i="55"/>
  <c r="A67" i="55"/>
  <c r="N67" i="55" s="1"/>
  <c r="B66" i="55"/>
  <c r="A66" i="55"/>
  <c r="N66" i="55" s="1"/>
  <c r="B65" i="55"/>
  <c r="A65" i="55"/>
  <c r="N65" i="55" s="1"/>
  <c r="B64" i="55"/>
  <c r="A64" i="55"/>
  <c r="N64" i="55" s="1"/>
  <c r="B63" i="55"/>
  <c r="A63" i="55"/>
  <c r="N63" i="55" s="1"/>
  <c r="B62" i="55"/>
  <c r="A62" i="55"/>
  <c r="N62" i="55" s="1"/>
  <c r="B61" i="55"/>
  <c r="A61" i="55"/>
  <c r="N61" i="55" s="1"/>
  <c r="B60" i="55"/>
  <c r="A60" i="55"/>
  <c r="N60" i="55" s="1"/>
  <c r="B59" i="55"/>
  <c r="A59" i="55"/>
  <c r="N59" i="55" s="1"/>
  <c r="B58" i="55"/>
  <c r="A58" i="55"/>
  <c r="N58" i="55" s="1"/>
  <c r="B57" i="55"/>
  <c r="A57" i="55"/>
  <c r="N57" i="55" s="1"/>
  <c r="B56" i="55"/>
  <c r="A56" i="55"/>
  <c r="N56" i="55" s="1"/>
  <c r="B55" i="55"/>
  <c r="A55" i="55"/>
  <c r="N55" i="55" s="1"/>
  <c r="B54" i="55"/>
  <c r="A54" i="55"/>
  <c r="N54" i="55" s="1"/>
  <c r="B53" i="55"/>
  <c r="A53" i="55"/>
  <c r="N53" i="55" s="1"/>
  <c r="B52" i="55"/>
  <c r="A52" i="55"/>
  <c r="N52" i="55" s="1"/>
  <c r="B51" i="55"/>
  <c r="A51" i="55"/>
  <c r="N51" i="55" s="1"/>
  <c r="B50" i="55"/>
  <c r="A50" i="55"/>
  <c r="N50" i="55" s="1"/>
  <c r="B49" i="55"/>
  <c r="A49" i="55"/>
  <c r="N49" i="55" s="1"/>
  <c r="B48" i="55"/>
  <c r="A48" i="55"/>
  <c r="N48" i="55" s="1"/>
  <c r="B47" i="55"/>
  <c r="A47" i="55"/>
  <c r="N47" i="55" s="1"/>
  <c r="B46" i="55"/>
  <c r="A46" i="55"/>
  <c r="N46" i="55" s="1"/>
  <c r="B45" i="55"/>
  <c r="A45" i="55"/>
  <c r="N45" i="55" s="1"/>
  <c r="B44" i="55"/>
  <c r="A44" i="55"/>
  <c r="N44" i="55" s="1"/>
  <c r="B43" i="55"/>
  <c r="A43" i="55"/>
  <c r="N43" i="55" s="1"/>
  <c r="B42" i="55"/>
  <c r="A42" i="55"/>
  <c r="N42" i="55" s="1"/>
  <c r="B41" i="55"/>
  <c r="A41" i="55"/>
  <c r="N41" i="55" s="1"/>
  <c r="B40" i="55"/>
  <c r="A40" i="55"/>
  <c r="N40" i="55" s="1"/>
  <c r="B39" i="55"/>
  <c r="A39" i="55"/>
  <c r="N39" i="55" s="1"/>
  <c r="B38" i="55"/>
  <c r="A38" i="55"/>
  <c r="N38" i="55" s="1"/>
  <c r="B37" i="55"/>
  <c r="A37" i="55"/>
  <c r="N37" i="55" s="1"/>
  <c r="B36" i="55"/>
  <c r="A36" i="55"/>
  <c r="N36" i="55" s="1"/>
  <c r="B35" i="55"/>
  <c r="A35" i="55"/>
  <c r="N35" i="55" s="1"/>
  <c r="B34" i="55"/>
  <c r="A34" i="55"/>
  <c r="N34" i="55" s="1"/>
  <c r="B33" i="55"/>
  <c r="A33" i="55"/>
  <c r="N33" i="55" s="1"/>
  <c r="B32" i="55"/>
  <c r="A32" i="55"/>
  <c r="N32" i="55" s="1"/>
  <c r="B31" i="55"/>
  <c r="A31" i="55"/>
  <c r="N31" i="55" s="1"/>
  <c r="B30" i="55"/>
  <c r="A30" i="55"/>
  <c r="N30" i="55" s="1"/>
  <c r="B29" i="55"/>
  <c r="A29" i="55"/>
  <c r="N29" i="55" s="1"/>
  <c r="B28" i="55"/>
  <c r="A28" i="55"/>
  <c r="N28" i="55" s="1"/>
  <c r="B27" i="55"/>
  <c r="A27" i="55"/>
  <c r="N27" i="55" s="1"/>
  <c r="B26" i="55"/>
  <c r="A26" i="55"/>
  <c r="N26" i="55" s="1"/>
  <c r="B25" i="55"/>
  <c r="A25" i="55"/>
  <c r="N25" i="55" s="1"/>
  <c r="B24" i="55"/>
  <c r="A24" i="55"/>
  <c r="N24" i="55" s="1"/>
  <c r="B23" i="55"/>
  <c r="A23" i="55"/>
  <c r="N23" i="55" s="1"/>
  <c r="B22" i="55"/>
  <c r="A22" i="55"/>
  <c r="N22" i="55" s="1"/>
  <c r="B21" i="55"/>
  <c r="A21" i="55"/>
  <c r="N21" i="55" s="1"/>
  <c r="B20" i="55"/>
  <c r="A20" i="55"/>
  <c r="N20" i="55" s="1"/>
  <c r="B19" i="55"/>
  <c r="A19" i="55"/>
  <c r="N19" i="55" s="1"/>
  <c r="B18" i="55"/>
  <c r="A18" i="55"/>
  <c r="N18" i="55" s="1"/>
  <c r="B17" i="55"/>
  <c r="A17" i="55"/>
  <c r="N17" i="55" s="1"/>
  <c r="B16" i="55"/>
  <c r="A16" i="55"/>
  <c r="N16" i="55" s="1"/>
  <c r="B15" i="55"/>
  <c r="A15" i="55"/>
  <c r="N15" i="55" s="1"/>
  <c r="B14" i="55"/>
  <c r="A14" i="55"/>
  <c r="N14" i="55" s="1"/>
  <c r="B13" i="55"/>
  <c r="A13" i="55"/>
  <c r="N13" i="55" s="1"/>
  <c r="B12" i="55"/>
  <c r="A12" i="55"/>
  <c r="N12" i="55" s="1"/>
  <c r="B11" i="55"/>
  <c r="A11" i="55"/>
  <c r="N11" i="55" s="1"/>
  <c r="B10" i="55"/>
  <c r="A10" i="55"/>
  <c r="N10" i="55" s="1"/>
  <c r="B9" i="55"/>
  <c r="A9" i="55"/>
  <c r="N9" i="55" s="1"/>
  <c r="R8" i="2"/>
  <c r="Q8" i="2"/>
  <c r="P8" i="2"/>
  <c r="O8" i="2"/>
  <c r="M8" i="2"/>
  <c r="L8" i="2"/>
  <c r="K8" i="2"/>
  <c r="J8" i="2"/>
  <c r="I8" i="2"/>
  <c r="H8" i="2"/>
  <c r="G8" i="2"/>
  <c r="F8" i="2"/>
  <c r="E8" i="2"/>
  <c r="B8" i="55"/>
  <c r="A8" i="55"/>
  <c r="R6" i="53"/>
  <c r="Q6" i="53"/>
  <c r="P6" i="53"/>
  <c r="O6" i="53"/>
  <c r="N6" i="53"/>
  <c r="M6" i="53"/>
  <c r="L6" i="53"/>
  <c r="K6" i="53"/>
  <c r="J6" i="53"/>
  <c r="I6" i="53"/>
  <c r="H6" i="53"/>
  <c r="G6" i="53"/>
  <c r="F6" i="53"/>
  <c r="E6" i="53"/>
  <c r="D6" i="53"/>
  <c r="L36" i="45" l="1"/>
  <c r="E19" i="57"/>
  <c r="H19" i="57" s="1"/>
  <c r="N8" i="55"/>
  <c r="N302" i="55" s="1"/>
  <c r="A8" i="29"/>
  <c r="A8" i="21"/>
  <c r="A8" i="9"/>
  <c r="B32" i="29"/>
  <c r="B32" i="21"/>
  <c r="B32" i="9"/>
  <c r="B46" i="29"/>
  <c r="B46" i="21"/>
  <c r="B46" i="9"/>
  <c r="B94" i="29"/>
  <c r="B94" i="21"/>
  <c r="B94" i="9"/>
  <c r="B98" i="29"/>
  <c r="B98" i="21"/>
  <c r="B98" i="9"/>
  <c r="B114" i="29"/>
  <c r="B114" i="21"/>
  <c r="B114" i="9"/>
  <c r="B142" i="29"/>
  <c r="B142" i="9"/>
  <c r="B142" i="21"/>
  <c r="B146" i="29"/>
  <c r="B146" i="21"/>
  <c r="B146" i="9"/>
  <c r="B150" i="29"/>
  <c r="B150" i="21"/>
  <c r="B150" i="9"/>
  <c r="B165" i="29"/>
  <c r="B165" i="21"/>
  <c r="B165" i="9"/>
  <c r="B177" i="29"/>
  <c r="B177" i="21"/>
  <c r="B177" i="9"/>
  <c r="B181" i="29"/>
  <c r="B181" i="21"/>
  <c r="B181" i="9"/>
  <c r="B189" i="29"/>
  <c r="B189" i="21"/>
  <c r="B189" i="9"/>
  <c r="B201" i="29"/>
  <c r="B201" i="21"/>
  <c r="B201" i="9"/>
  <c r="B209" i="29"/>
  <c r="B209" i="21"/>
  <c r="B209" i="9"/>
  <c r="B221" i="29"/>
  <c r="B221" i="21"/>
  <c r="B221" i="9"/>
  <c r="B225" i="29"/>
  <c r="B225" i="21"/>
  <c r="B225" i="9"/>
  <c r="B229" i="29"/>
  <c r="B229" i="21"/>
  <c r="B229" i="9"/>
  <c r="B233" i="29"/>
  <c r="B233" i="21"/>
  <c r="B233" i="9"/>
  <c r="B237" i="29"/>
  <c r="B237" i="21"/>
  <c r="B237" i="9"/>
  <c r="B241" i="29"/>
  <c r="B241" i="21"/>
  <c r="B241" i="9"/>
  <c r="B245" i="29"/>
  <c r="B245" i="21"/>
  <c r="B245" i="9"/>
  <c r="B249" i="29"/>
  <c r="B249" i="21"/>
  <c r="B249" i="9"/>
  <c r="B253" i="29"/>
  <c r="B253" i="21"/>
  <c r="B253" i="9"/>
  <c r="B257" i="29"/>
  <c r="B257" i="21"/>
  <c r="B257" i="9"/>
  <c r="B261" i="29"/>
  <c r="B261" i="21"/>
  <c r="B261" i="9"/>
  <c r="B263" i="29"/>
  <c r="B263" i="21"/>
  <c r="B263" i="9"/>
  <c r="B267" i="29"/>
  <c r="B267" i="21"/>
  <c r="B267" i="9"/>
  <c r="B271" i="29"/>
  <c r="B271" i="21"/>
  <c r="B271" i="9"/>
  <c r="B275" i="29"/>
  <c r="B275" i="21"/>
  <c r="B275" i="9"/>
  <c r="B279" i="29"/>
  <c r="B279" i="21"/>
  <c r="B279" i="9"/>
  <c r="B283" i="29"/>
  <c r="B283" i="21"/>
  <c r="B283" i="9"/>
  <c r="B287" i="29"/>
  <c r="B287" i="21"/>
  <c r="B287" i="9"/>
  <c r="B291" i="29"/>
  <c r="B291" i="21"/>
  <c r="B291" i="9"/>
  <c r="B294" i="29"/>
  <c r="B294" i="21"/>
  <c r="B294" i="9"/>
  <c r="B298" i="29"/>
  <c r="B298" i="21"/>
  <c r="B298" i="9"/>
  <c r="B20" i="29"/>
  <c r="B20" i="21"/>
  <c r="B20" i="9"/>
  <c r="B54" i="29"/>
  <c r="B54" i="9"/>
  <c r="B54" i="21"/>
  <c r="B66" i="21"/>
  <c r="B66" i="9"/>
  <c r="B66" i="29"/>
  <c r="B78" i="29"/>
  <c r="B78" i="21"/>
  <c r="B78" i="9"/>
  <c r="B102" i="29"/>
  <c r="B102" i="21"/>
  <c r="B102" i="9"/>
  <c r="B118" i="29"/>
  <c r="B118" i="21"/>
  <c r="B118" i="9"/>
  <c r="B126" i="29"/>
  <c r="B126" i="9"/>
  <c r="B126" i="21"/>
  <c r="B134" i="29"/>
  <c r="B134" i="21"/>
  <c r="B134" i="9"/>
  <c r="B158" i="29"/>
  <c r="B158" i="21"/>
  <c r="B158" i="9"/>
  <c r="B161" i="29"/>
  <c r="B161" i="21"/>
  <c r="B161" i="9"/>
  <c r="B185" i="29"/>
  <c r="B185" i="21"/>
  <c r="B185" i="9"/>
  <c r="B193" i="29"/>
  <c r="B193" i="21"/>
  <c r="B193" i="9"/>
  <c r="B205" i="29"/>
  <c r="B205" i="21"/>
  <c r="B205" i="9"/>
  <c r="B217" i="29"/>
  <c r="B217" i="21"/>
  <c r="B217" i="9"/>
  <c r="B8" i="21"/>
  <c r="B8" i="29"/>
  <c r="B8" i="9"/>
  <c r="A9" i="29"/>
  <c r="A9" i="21"/>
  <c r="A9" i="9"/>
  <c r="C12" i="29"/>
  <c r="C12" i="9"/>
  <c r="C12" i="21"/>
  <c r="A13" i="29"/>
  <c r="A13" i="21"/>
  <c r="A13" i="9"/>
  <c r="C16" i="29"/>
  <c r="C16" i="21"/>
  <c r="C16" i="9"/>
  <c r="A17" i="29"/>
  <c r="A17" i="21"/>
  <c r="A17" i="9"/>
  <c r="C20" i="29"/>
  <c r="C20" i="9"/>
  <c r="C20" i="21"/>
  <c r="A21" i="29"/>
  <c r="A21" i="21"/>
  <c r="A21" i="9"/>
  <c r="C24" i="29"/>
  <c r="C24" i="21"/>
  <c r="C24" i="9"/>
  <c r="A25" i="29"/>
  <c r="A25" i="21"/>
  <c r="A25" i="9"/>
  <c r="C28" i="29"/>
  <c r="C28" i="9"/>
  <c r="C28" i="21"/>
  <c r="A29" i="29"/>
  <c r="A29" i="21"/>
  <c r="A29" i="9"/>
  <c r="C32" i="29"/>
  <c r="C32" i="21"/>
  <c r="C32" i="9"/>
  <c r="A33" i="29"/>
  <c r="A33" i="21"/>
  <c r="A33" i="9"/>
  <c r="A35" i="29"/>
  <c r="A35" i="21"/>
  <c r="A35" i="9"/>
  <c r="C38" i="29"/>
  <c r="C38" i="21"/>
  <c r="C38" i="9"/>
  <c r="A39" i="29"/>
  <c r="A39" i="21"/>
  <c r="A39" i="9"/>
  <c r="C42" i="29"/>
  <c r="C42" i="21"/>
  <c r="C42" i="9"/>
  <c r="A43" i="29"/>
  <c r="A43" i="21"/>
  <c r="A43" i="9"/>
  <c r="C46" i="29"/>
  <c r="C46" i="21"/>
  <c r="C46" i="9"/>
  <c r="A47" i="29"/>
  <c r="A47" i="21"/>
  <c r="A47" i="9"/>
  <c r="C50" i="29"/>
  <c r="C50" i="21"/>
  <c r="C50" i="9"/>
  <c r="A51" i="29"/>
  <c r="A51" i="21"/>
  <c r="A51" i="9"/>
  <c r="C54" i="29"/>
  <c r="C54" i="21"/>
  <c r="C54" i="9"/>
  <c r="A55" i="29"/>
  <c r="A55" i="21"/>
  <c r="A55" i="9"/>
  <c r="C58" i="29"/>
  <c r="C58" i="21"/>
  <c r="C58" i="9"/>
  <c r="A59" i="29"/>
  <c r="A59" i="21"/>
  <c r="A59" i="9"/>
  <c r="C62" i="21"/>
  <c r="C62" i="29"/>
  <c r="C62" i="9"/>
  <c r="A63" i="29"/>
  <c r="A63" i="21"/>
  <c r="A63" i="9"/>
  <c r="C66" i="29"/>
  <c r="C66" i="9"/>
  <c r="C66" i="21"/>
  <c r="A67" i="29"/>
  <c r="A67" i="21"/>
  <c r="A67" i="9"/>
  <c r="C70" i="29"/>
  <c r="C70" i="21"/>
  <c r="C70" i="9"/>
  <c r="A71" i="29"/>
  <c r="A71" i="21"/>
  <c r="A71" i="9"/>
  <c r="C74" i="29"/>
  <c r="C74" i="9"/>
  <c r="C74" i="21"/>
  <c r="A75" i="29"/>
  <c r="A75" i="21"/>
  <c r="A75" i="9"/>
  <c r="C78" i="21"/>
  <c r="C78" i="29"/>
  <c r="C78" i="9"/>
  <c r="A79" i="29"/>
  <c r="A79" i="21"/>
  <c r="A79" i="9"/>
  <c r="C82" i="29"/>
  <c r="C82" i="9"/>
  <c r="C82" i="21"/>
  <c r="A83" i="29"/>
  <c r="A83" i="21"/>
  <c r="A83" i="9"/>
  <c r="C86" i="29"/>
  <c r="C86" i="21"/>
  <c r="C86" i="9"/>
  <c r="A87" i="29"/>
  <c r="A87" i="21"/>
  <c r="A87" i="9"/>
  <c r="C90" i="29"/>
  <c r="C90" i="9"/>
  <c r="C90" i="21"/>
  <c r="A91" i="29"/>
  <c r="A91" i="21"/>
  <c r="A91" i="9"/>
  <c r="C94" i="29"/>
  <c r="C94" i="21"/>
  <c r="C94" i="9"/>
  <c r="A95" i="29"/>
  <c r="A95" i="21"/>
  <c r="A95" i="9"/>
  <c r="C98" i="29"/>
  <c r="C98" i="9"/>
  <c r="C98" i="21"/>
  <c r="A99" i="29"/>
  <c r="A99" i="21"/>
  <c r="A99" i="9"/>
  <c r="C102" i="29"/>
  <c r="C102" i="21"/>
  <c r="C102" i="9"/>
  <c r="A103" i="29"/>
  <c r="A103" i="21"/>
  <c r="A103" i="9"/>
  <c r="C106" i="29"/>
  <c r="C106" i="21"/>
  <c r="C106" i="9"/>
  <c r="A107" i="29"/>
  <c r="A107" i="21"/>
  <c r="A107" i="9"/>
  <c r="C110" i="29"/>
  <c r="C110" i="21"/>
  <c r="C110" i="9"/>
  <c r="A111" i="29"/>
  <c r="A111" i="21"/>
  <c r="A111" i="9"/>
  <c r="C114" i="29"/>
  <c r="C114" i="9"/>
  <c r="C114" i="21"/>
  <c r="A115" i="29"/>
  <c r="A115" i="21"/>
  <c r="A115" i="9"/>
  <c r="C118" i="21"/>
  <c r="C118" i="29"/>
  <c r="C118" i="9"/>
  <c r="A119" i="29"/>
  <c r="A119" i="21"/>
  <c r="A119" i="9"/>
  <c r="C122" i="29"/>
  <c r="C122" i="21"/>
  <c r="C122" i="9"/>
  <c r="A123" i="29"/>
  <c r="A123" i="21"/>
  <c r="A123" i="9"/>
  <c r="C126" i="21"/>
  <c r="C126" i="9"/>
  <c r="C126" i="29"/>
  <c r="A127" i="29"/>
  <c r="A127" i="21"/>
  <c r="A127" i="9"/>
  <c r="C130" i="29"/>
  <c r="C130" i="9"/>
  <c r="C130" i="21"/>
  <c r="A131" i="29"/>
  <c r="A131" i="21"/>
  <c r="A131" i="9"/>
  <c r="C134" i="29"/>
  <c r="C134" i="21"/>
  <c r="C134" i="9"/>
  <c r="A135" i="29"/>
  <c r="A135" i="21"/>
  <c r="A135" i="9"/>
  <c r="C138" i="21"/>
  <c r="C138" i="29"/>
  <c r="C138" i="9"/>
  <c r="A139" i="29"/>
  <c r="A139" i="21"/>
  <c r="A139" i="9"/>
  <c r="C142" i="29"/>
  <c r="C142" i="21"/>
  <c r="C142" i="9"/>
  <c r="A143" i="29"/>
  <c r="A143" i="21"/>
  <c r="A143" i="9"/>
  <c r="C146" i="29"/>
  <c r="C146" i="9"/>
  <c r="C146" i="21"/>
  <c r="A147" i="29"/>
  <c r="A147" i="21"/>
  <c r="A147" i="9"/>
  <c r="C150" i="29"/>
  <c r="C150" i="21"/>
  <c r="C150" i="9"/>
  <c r="A151" i="29"/>
  <c r="A151" i="9"/>
  <c r="A151" i="21"/>
  <c r="C154" i="29"/>
  <c r="C154" i="21"/>
  <c r="C154" i="9"/>
  <c r="A155" i="29"/>
  <c r="A155" i="21"/>
  <c r="A155" i="9"/>
  <c r="C158" i="29"/>
  <c r="C158" i="21"/>
  <c r="C158" i="9"/>
  <c r="C161" i="29"/>
  <c r="C161" i="21"/>
  <c r="C161" i="9"/>
  <c r="A162" i="29"/>
  <c r="A162" i="21"/>
  <c r="A162" i="9"/>
  <c r="C165" i="29"/>
  <c r="C165" i="21"/>
  <c r="C165" i="9"/>
  <c r="A166" i="29"/>
  <c r="A166" i="21"/>
  <c r="A166" i="9"/>
  <c r="C169" i="29"/>
  <c r="C169" i="21"/>
  <c r="C169" i="9"/>
  <c r="A170" i="29"/>
  <c r="A170" i="21"/>
  <c r="A170" i="9"/>
  <c r="C173" i="29"/>
  <c r="C173" i="21"/>
  <c r="C173" i="9"/>
  <c r="A174" i="29"/>
  <c r="A174" i="21"/>
  <c r="A174" i="9"/>
  <c r="C177" i="29"/>
  <c r="C177" i="21"/>
  <c r="C177" i="9"/>
  <c r="A178" i="29"/>
  <c r="A178" i="21"/>
  <c r="A178" i="9"/>
  <c r="C181" i="29"/>
  <c r="C181" i="21"/>
  <c r="C181" i="9"/>
  <c r="A182" i="29"/>
  <c r="A182" i="9"/>
  <c r="A182" i="21"/>
  <c r="C185" i="29"/>
  <c r="C185" i="21"/>
  <c r="C185" i="9"/>
  <c r="A186" i="29"/>
  <c r="A186" i="21"/>
  <c r="A186" i="9"/>
  <c r="C189" i="29"/>
  <c r="C189" i="21"/>
  <c r="C189" i="9"/>
  <c r="A190" i="29"/>
  <c r="A190" i="9"/>
  <c r="A190" i="21"/>
  <c r="C193" i="29"/>
  <c r="C193" i="21"/>
  <c r="C193" i="9"/>
  <c r="A194" i="29"/>
  <c r="A194" i="21"/>
  <c r="A194" i="9"/>
  <c r="C197" i="29"/>
  <c r="C197" i="21"/>
  <c r="C197" i="9"/>
  <c r="A198" i="29"/>
  <c r="A198" i="21"/>
  <c r="A198" i="9"/>
  <c r="C201" i="21"/>
  <c r="C201" i="9"/>
  <c r="C201" i="29"/>
  <c r="A202" i="29"/>
  <c r="A202" i="21"/>
  <c r="A202" i="9"/>
  <c r="C205" i="29"/>
  <c r="C205" i="21"/>
  <c r="C205" i="9"/>
  <c r="A206" i="29"/>
  <c r="A206" i="21"/>
  <c r="A206" i="9"/>
  <c r="C209" i="29"/>
  <c r="C209" i="21"/>
  <c r="C209" i="9"/>
  <c r="A210" i="29"/>
  <c r="A210" i="21"/>
  <c r="A210" i="9"/>
  <c r="C213" i="29"/>
  <c r="C213" i="21"/>
  <c r="C213" i="9"/>
  <c r="A214" i="29"/>
  <c r="A214" i="9"/>
  <c r="A214" i="21"/>
  <c r="C217" i="29"/>
  <c r="C217" i="21"/>
  <c r="C217" i="9"/>
  <c r="A218" i="29"/>
  <c r="A218" i="21"/>
  <c r="A218" i="9"/>
  <c r="C221" i="29"/>
  <c r="C221" i="21"/>
  <c r="C221" i="9"/>
  <c r="A222" i="29"/>
  <c r="A222" i="9"/>
  <c r="A222" i="21"/>
  <c r="C225" i="29"/>
  <c r="C225" i="21"/>
  <c r="C225" i="9"/>
  <c r="A226" i="29"/>
  <c r="A226" i="21"/>
  <c r="A226" i="9"/>
  <c r="C229" i="29"/>
  <c r="C229" i="21"/>
  <c r="C229" i="9"/>
  <c r="A230" i="29"/>
  <c r="A230" i="9"/>
  <c r="A230" i="21"/>
  <c r="C233" i="29"/>
  <c r="C233" i="21"/>
  <c r="C233" i="9"/>
  <c r="A234" i="29"/>
  <c r="A234" i="21"/>
  <c r="A234" i="9"/>
  <c r="C237" i="29"/>
  <c r="C237" i="21"/>
  <c r="C237" i="9"/>
  <c r="A238" i="29"/>
  <c r="A238" i="21"/>
  <c r="A238" i="9"/>
  <c r="C241" i="21"/>
  <c r="C241" i="29"/>
  <c r="C241" i="9"/>
  <c r="A242" i="29"/>
  <c r="A242" i="21"/>
  <c r="A242" i="9"/>
  <c r="C245" i="29"/>
  <c r="C245" i="21"/>
  <c r="C245" i="9"/>
  <c r="A246" i="29"/>
  <c r="A246" i="9"/>
  <c r="A246" i="21"/>
  <c r="C249" i="29"/>
  <c r="C249" i="21"/>
  <c r="C249" i="9"/>
  <c r="A250" i="29"/>
  <c r="A250" i="21"/>
  <c r="A250" i="9"/>
  <c r="C253" i="29"/>
  <c r="C253" i="21"/>
  <c r="C253" i="9"/>
  <c r="A254" i="29"/>
  <c r="A254" i="9"/>
  <c r="A254" i="21"/>
  <c r="C257" i="21"/>
  <c r="C257" i="29"/>
  <c r="C257" i="9"/>
  <c r="A258" i="29"/>
  <c r="A258" i="21"/>
  <c r="A258" i="9"/>
  <c r="C261" i="29"/>
  <c r="C261" i="21"/>
  <c r="C261" i="9"/>
  <c r="A262" i="29"/>
  <c r="A262" i="21"/>
  <c r="A262" i="9"/>
  <c r="C263" i="29"/>
  <c r="C263" i="21"/>
  <c r="C263" i="9"/>
  <c r="A264" i="29"/>
  <c r="A264" i="21"/>
  <c r="A264" i="9"/>
  <c r="C267" i="29"/>
  <c r="C267" i="21"/>
  <c r="C267" i="9"/>
  <c r="A268" i="29"/>
  <c r="A268" i="9"/>
  <c r="A268" i="21"/>
  <c r="C271" i="29"/>
  <c r="C271" i="21"/>
  <c r="C271" i="9"/>
  <c r="A272" i="29"/>
  <c r="A272" i="21"/>
  <c r="A272" i="9"/>
  <c r="C275" i="29"/>
  <c r="C275" i="21"/>
  <c r="C275" i="9"/>
  <c r="A276" i="29"/>
  <c r="A276" i="9"/>
  <c r="A276" i="21"/>
  <c r="C279" i="29"/>
  <c r="C279" i="21"/>
  <c r="C279" i="9"/>
  <c r="A280" i="29"/>
  <c r="A280" i="21"/>
  <c r="A280" i="9"/>
  <c r="C283" i="29"/>
  <c r="C283" i="21"/>
  <c r="C283" i="9"/>
  <c r="A284" i="29"/>
  <c r="A284" i="9"/>
  <c r="A284" i="21"/>
  <c r="C287" i="29"/>
  <c r="C287" i="21"/>
  <c r="C287" i="9"/>
  <c r="A288" i="29"/>
  <c r="A288" i="21"/>
  <c r="A288" i="9"/>
  <c r="C291" i="29"/>
  <c r="C291" i="21"/>
  <c r="C291" i="9"/>
  <c r="A292" i="29"/>
  <c r="A292" i="9"/>
  <c r="A292" i="21"/>
  <c r="C294" i="29"/>
  <c r="C294" i="21"/>
  <c r="C294" i="9"/>
  <c r="A295" i="29"/>
  <c r="A295" i="21"/>
  <c r="A295" i="9"/>
  <c r="C298" i="29"/>
  <c r="C298" i="21"/>
  <c r="C298" i="9"/>
  <c r="A299" i="29"/>
  <c r="A299" i="21"/>
  <c r="A299" i="9"/>
  <c r="AE302" i="53"/>
  <c r="B16" i="29"/>
  <c r="B16" i="21"/>
  <c r="B16" i="9"/>
  <c r="B24" i="29"/>
  <c r="B24" i="21"/>
  <c r="B24" i="9"/>
  <c r="B38" i="29"/>
  <c r="B38" i="21"/>
  <c r="B38" i="9"/>
  <c r="B42" i="29"/>
  <c r="B42" i="21"/>
  <c r="B42" i="9"/>
  <c r="B62" i="29"/>
  <c r="B62" i="9"/>
  <c r="B62" i="21"/>
  <c r="B70" i="29"/>
  <c r="B70" i="21"/>
  <c r="B70" i="9"/>
  <c r="B90" i="29"/>
  <c r="B90" i="21"/>
  <c r="B90" i="9"/>
  <c r="B122" i="29"/>
  <c r="B122" i="21"/>
  <c r="B122" i="9"/>
  <c r="B138" i="29"/>
  <c r="B138" i="21"/>
  <c r="B138" i="9"/>
  <c r="B173" i="29"/>
  <c r="B173" i="21"/>
  <c r="B173" i="9"/>
  <c r="B213" i="29"/>
  <c r="B213" i="21"/>
  <c r="B213" i="9"/>
  <c r="B9" i="29"/>
  <c r="B9" i="9"/>
  <c r="B9" i="21"/>
  <c r="B13" i="29"/>
  <c r="B13" i="21"/>
  <c r="B13" i="9"/>
  <c r="B17" i="29"/>
  <c r="B17" i="21"/>
  <c r="B17" i="9"/>
  <c r="B25" i="29"/>
  <c r="B25" i="21"/>
  <c r="B25" i="9"/>
  <c r="B29" i="29"/>
  <c r="B29" i="9"/>
  <c r="B29" i="21"/>
  <c r="B33" i="29"/>
  <c r="B33" i="21"/>
  <c r="B33" i="9"/>
  <c r="B35" i="29"/>
  <c r="B35" i="21"/>
  <c r="B35" i="9"/>
  <c r="B39" i="29"/>
  <c r="B39" i="21"/>
  <c r="B39" i="9"/>
  <c r="B43" i="29"/>
  <c r="B43" i="21"/>
  <c r="B43" i="9"/>
  <c r="B47" i="29"/>
  <c r="B47" i="21"/>
  <c r="B47" i="9"/>
  <c r="B51" i="29"/>
  <c r="B51" i="21"/>
  <c r="B51" i="9"/>
  <c r="B55" i="29"/>
  <c r="B55" i="21"/>
  <c r="B55" i="9"/>
  <c r="B59" i="29"/>
  <c r="B59" i="21"/>
  <c r="B59" i="9"/>
  <c r="B63" i="29"/>
  <c r="B63" i="21"/>
  <c r="B63" i="9"/>
  <c r="B67" i="29"/>
  <c r="B67" i="21"/>
  <c r="B67" i="9"/>
  <c r="B71" i="29"/>
  <c r="B71" i="21"/>
  <c r="B71" i="9"/>
  <c r="B75" i="29"/>
  <c r="B75" i="21"/>
  <c r="B75" i="9"/>
  <c r="B79" i="29"/>
  <c r="B79" i="21"/>
  <c r="B79" i="9"/>
  <c r="B83" i="29"/>
  <c r="B83" i="21"/>
  <c r="B83" i="9"/>
  <c r="B87" i="29"/>
  <c r="B87" i="21"/>
  <c r="B87" i="9"/>
  <c r="B91" i="29"/>
  <c r="B91" i="9"/>
  <c r="B91" i="21"/>
  <c r="B95" i="29"/>
  <c r="B95" i="21"/>
  <c r="B95" i="9"/>
  <c r="B99" i="29"/>
  <c r="B99" i="21"/>
  <c r="B99" i="9"/>
  <c r="B103" i="29"/>
  <c r="B103" i="21"/>
  <c r="B103" i="9"/>
  <c r="B107" i="29"/>
  <c r="B107" i="21"/>
  <c r="B107" i="9"/>
  <c r="B111" i="29"/>
  <c r="B111" i="21"/>
  <c r="B111" i="9"/>
  <c r="B115" i="29"/>
  <c r="B115" i="21"/>
  <c r="B115" i="9"/>
  <c r="B119" i="29"/>
  <c r="B119" i="9"/>
  <c r="B119" i="21"/>
  <c r="B123" i="29"/>
  <c r="B123" i="21"/>
  <c r="B123" i="9"/>
  <c r="B127" i="29"/>
  <c r="B127" i="21"/>
  <c r="B127" i="9"/>
  <c r="B131" i="29"/>
  <c r="B131" i="21"/>
  <c r="B131" i="9"/>
  <c r="B135" i="29"/>
  <c r="B135" i="9"/>
  <c r="B135" i="21"/>
  <c r="B139" i="29"/>
  <c r="B139" i="21"/>
  <c r="B139" i="9"/>
  <c r="B143" i="21"/>
  <c r="B143" i="9"/>
  <c r="B143" i="29"/>
  <c r="B147" i="29"/>
  <c r="B147" i="21"/>
  <c r="B147" i="9"/>
  <c r="B151" i="29"/>
  <c r="B151" i="21"/>
  <c r="B151" i="9"/>
  <c r="B155" i="29"/>
  <c r="B155" i="21"/>
  <c r="B155" i="9"/>
  <c r="B162" i="29"/>
  <c r="B162" i="21"/>
  <c r="B162" i="9"/>
  <c r="B166" i="21"/>
  <c r="B166" i="9"/>
  <c r="B166" i="29"/>
  <c r="B170" i="21"/>
  <c r="B170" i="9"/>
  <c r="B170" i="29"/>
  <c r="B174" i="29"/>
  <c r="B174" i="21"/>
  <c r="B174" i="9"/>
  <c r="B178" i="29"/>
  <c r="B178" i="21"/>
  <c r="B178" i="9"/>
  <c r="B182" i="29"/>
  <c r="B182" i="21"/>
  <c r="B182" i="9"/>
  <c r="B186" i="21"/>
  <c r="B186" i="29"/>
  <c r="B186" i="9"/>
  <c r="B190" i="29"/>
  <c r="B190" i="21"/>
  <c r="B190" i="9"/>
  <c r="B194" i="29"/>
  <c r="B194" i="21"/>
  <c r="B194" i="9"/>
  <c r="B198" i="29"/>
  <c r="B198" i="21"/>
  <c r="B198" i="9"/>
  <c r="B202" i="29"/>
  <c r="B202" i="21"/>
  <c r="B202" i="9"/>
  <c r="B206" i="21"/>
  <c r="B206" i="9"/>
  <c r="B206" i="29"/>
  <c r="B210" i="29"/>
  <c r="B210" i="21"/>
  <c r="B210" i="9"/>
  <c r="B214" i="29"/>
  <c r="B214" i="21"/>
  <c r="B214" i="9"/>
  <c r="B218" i="29"/>
  <c r="B218" i="21"/>
  <c r="B218" i="9"/>
  <c r="B222" i="21"/>
  <c r="B222" i="29"/>
  <c r="B222" i="9"/>
  <c r="B226" i="29"/>
  <c r="B226" i="21"/>
  <c r="B226" i="9"/>
  <c r="B230" i="21"/>
  <c r="B230" i="29"/>
  <c r="B230" i="9"/>
  <c r="B234" i="29"/>
  <c r="B234" i="21"/>
  <c r="B234" i="9"/>
  <c r="B238" i="29"/>
  <c r="B238" i="21"/>
  <c r="B238" i="9"/>
  <c r="B242" i="29"/>
  <c r="B242" i="21"/>
  <c r="B242" i="9"/>
  <c r="B246" i="29"/>
  <c r="B246" i="21"/>
  <c r="B246" i="9"/>
  <c r="B250" i="29"/>
  <c r="B250" i="21"/>
  <c r="B250" i="9"/>
  <c r="B254" i="29"/>
  <c r="B254" i="21"/>
  <c r="B254" i="9"/>
  <c r="B258" i="21"/>
  <c r="B258" i="29"/>
  <c r="B258" i="9"/>
  <c r="B262" i="29"/>
  <c r="B262" i="21"/>
  <c r="B262" i="9"/>
  <c r="B264" i="29"/>
  <c r="B264" i="21"/>
  <c r="B264" i="9"/>
  <c r="B268" i="21"/>
  <c r="B268" i="29"/>
  <c r="B268" i="9"/>
  <c r="B272" i="29"/>
  <c r="B272" i="21"/>
  <c r="B272" i="9"/>
  <c r="B276" i="29"/>
  <c r="B276" i="21"/>
  <c r="B276" i="9"/>
  <c r="B280" i="29"/>
  <c r="B280" i="21"/>
  <c r="B280" i="9"/>
  <c r="B284" i="21"/>
  <c r="B284" i="29"/>
  <c r="B284" i="9"/>
  <c r="B288" i="29"/>
  <c r="B288" i="21"/>
  <c r="B288" i="9"/>
  <c r="B292" i="29"/>
  <c r="B292" i="21"/>
  <c r="B292" i="9"/>
  <c r="B295" i="29"/>
  <c r="B295" i="21"/>
  <c r="B295" i="9"/>
  <c r="B299" i="29"/>
  <c r="B299" i="21"/>
  <c r="B299" i="9"/>
  <c r="B28" i="29"/>
  <c r="B28" i="21"/>
  <c r="B28" i="9"/>
  <c r="B50" i="29"/>
  <c r="B50" i="21"/>
  <c r="B50" i="9"/>
  <c r="B58" i="29"/>
  <c r="B58" i="21"/>
  <c r="B58" i="9"/>
  <c r="B74" i="29"/>
  <c r="B74" i="21"/>
  <c r="B74" i="9"/>
  <c r="B82" i="29"/>
  <c r="B82" i="21"/>
  <c r="B82" i="9"/>
  <c r="B86" i="29"/>
  <c r="B86" i="21"/>
  <c r="B86" i="9"/>
  <c r="B106" i="29"/>
  <c r="B106" i="21"/>
  <c r="B106" i="9"/>
  <c r="B110" i="29"/>
  <c r="B110" i="9"/>
  <c r="B110" i="21"/>
  <c r="B130" i="29"/>
  <c r="B130" i="21"/>
  <c r="B130" i="9"/>
  <c r="B154" i="29"/>
  <c r="B154" i="21"/>
  <c r="B154" i="9"/>
  <c r="B169" i="29"/>
  <c r="B169" i="21"/>
  <c r="B169" i="9"/>
  <c r="B197" i="29"/>
  <c r="B197" i="21"/>
  <c r="B197" i="9"/>
  <c r="B21" i="29"/>
  <c r="B21" i="21"/>
  <c r="B21" i="9"/>
  <c r="C9" i="21"/>
  <c r="C9" i="9"/>
  <c r="C9" i="29"/>
  <c r="A10" i="29"/>
  <c r="A10" i="21"/>
  <c r="A10" i="9"/>
  <c r="C13" i="29"/>
  <c r="C13" i="9"/>
  <c r="C13" i="21"/>
  <c r="A14" i="29"/>
  <c r="A14" i="21"/>
  <c r="A14" i="9"/>
  <c r="C17" i="29"/>
  <c r="C17" i="21"/>
  <c r="C17" i="9"/>
  <c r="A18" i="29"/>
  <c r="A18" i="21"/>
  <c r="A18" i="9"/>
  <c r="C21" i="29"/>
  <c r="C21" i="9"/>
  <c r="C21" i="21"/>
  <c r="A22" i="29"/>
  <c r="A22" i="21"/>
  <c r="A22" i="9"/>
  <c r="C25" i="21"/>
  <c r="C25" i="9"/>
  <c r="C25" i="29"/>
  <c r="A26" i="29"/>
  <c r="A26" i="9"/>
  <c r="A26" i="21"/>
  <c r="C29" i="29"/>
  <c r="C29" i="21"/>
  <c r="C29" i="9"/>
  <c r="A30" i="29"/>
  <c r="A30" i="21"/>
  <c r="A30" i="9"/>
  <c r="C33" i="29"/>
  <c r="C33" i="21"/>
  <c r="C33" i="9"/>
  <c r="A34" i="29"/>
  <c r="A34" i="9"/>
  <c r="A34" i="21"/>
  <c r="C35" i="29"/>
  <c r="C35" i="21"/>
  <c r="C35" i="9"/>
  <c r="A36" i="29"/>
  <c r="A36" i="21"/>
  <c r="A36" i="9"/>
  <c r="C39" i="29"/>
  <c r="C39" i="21"/>
  <c r="C39" i="9"/>
  <c r="A40" i="29"/>
  <c r="A40" i="9"/>
  <c r="A40" i="21"/>
  <c r="C43" i="29"/>
  <c r="C43" i="21"/>
  <c r="C43" i="9"/>
  <c r="A44" i="29"/>
  <c r="A44" i="21"/>
  <c r="A44" i="9"/>
  <c r="C47" i="29"/>
  <c r="C47" i="21"/>
  <c r="C47" i="9"/>
  <c r="A48" i="29"/>
  <c r="A48" i="9"/>
  <c r="A48" i="21"/>
  <c r="C51" i="29"/>
  <c r="C51" i="21"/>
  <c r="C51" i="9"/>
  <c r="A52" i="21"/>
  <c r="A52" i="29"/>
  <c r="A52" i="9"/>
  <c r="C55" i="21"/>
  <c r="C55" i="9"/>
  <c r="C55" i="29"/>
  <c r="A56" i="29"/>
  <c r="A56" i="9"/>
  <c r="A56" i="21"/>
  <c r="C59" i="29"/>
  <c r="C59" i="21"/>
  <c r="C59" i="9"/>
  <c r="A60" i="29"/>
  <c r="A60" i="21"/>
  <c r="A60" i="9"/>
  <c r="C63" i="29"/>
  <c r="C63" i="21"/>
  <c r="C63" i="9"/>
  <c r="A64" i="29"/>
  <c r="A64" i="21"/>
  <c r="A64" i="9"/>
  <c r="C67" i="29"/>
  <c r="C67" i="21"/>
  <c r="C67" i="9"/>
  <c r="A68" i="29"/>
  <c r="A68" i="21"/>
  <c r="A68" i="9"/>
  <c r="C71" i="21"/>
  <c r="C71" i="9"/>
  <c r="C71" i="29"/>
  <c r="A72" i="29"/>
  <c r="A72" i="21"/>
  <c r="A72" i="9"/>
  <c r="C75" i="29"/>
  <c r="C75" i="9"/>
  <c r="C75" i="21"/>
  <c r="A76" i="29"/>
  <c r="A76" i="21"/>
  <c r="A76" i="9"/>
  <c r="C79" i="29"/>
  <c r="C79" i="21"/>
  <c r="C79" i="9"/>
  <c r="A80" i="29"/>
  <c r="A80" i="21"/>
  <c r="A80" i="9"/>
  <c r="C83" i="29"/>
  <c r="C83" i="9"/>
  <c r="C83" i="21"/>
  <c r="A84" i="21"/>
  <c r="A84" i="29"/>
  <c r="A84" i="9"/>
  <c r="C87" i="29"/>
  <c r="C87" i="21"/>
  <c r="C87" i="9"/>
  <c r="A88" i="29"/>
  <c r="A88" i="9"/>
  <c r="A88" i="21"/>
  <c r="C91" i="29"/>
  <c r="C91" i="21"/>
  <c r="C91" i="9"/>
  <c r="A92" i="29"/>
  <c r="A92" i="21"/>
  <c r="A92" i="9"/>
  <c r="C95" i="29"/>
  <c r="C95" i="21"/>
  <c r="C95" i="9"/>
  <c r="A96" i="29"/>
  <c r="A96" i="9"/>
  <c r="A96" i="21"/>
  <c r="C99" i="29"/>
  <c r="C99" i="21"/>
  <c r="C99" i="9"/>
  <c r="A100" i="21"/>
  <c r="A100" i="29"/>
  <c r="A100" i="9"/>
  <c r="C103" i="29"/>
  <c r="C103" i="21"/>
  <c r="C103" i="9"/>
  <c r="A104" i="29"/>
  <c r="A104" i="9"/>
  <c r="A104" i="21"/>
  <c r="C107" i="29"/>
  <c r="C107" i="21"/>
  <c r="C107" i="9"/>
  <c r="A108" i="29"/>
  <c r="A108" i="21"/>
  <c r="A108" i="9"/>
  <c r="C111" i="29"/>
  <c r="C111" i="21"/>
  <c r="C111" i="9"/>
  <c r="A112" i="21"/>
  <c r="A112" i="9"/>
  <c r="A112" i="29"/>
  <c r="C115" i="29"/>
  <c r="C115" i="9"/>
  <c r="C115" i="21"/>
  <c r="A116" i="21"/>
  <c r="A116" i="29"/>
  <c r="A116" i="9"/>
  <c r="C119" i="29"/>
  <c r="C119" i="21"/>
  <c r="C119" i="9"/>
  <c r="A120" i="29"/>
  <c r="A120" i="9"/>
  <c r="A120" i="21"/>
  <c r="C123" i="29"/>
  <c r="C123" i="21"/>
  <c r="C123" i="9"/>
  <c r="A124" i="29"/>
  <c r="A124" i="21"/>
  <c r="A124" i="9"/>
  <c r="C127" i="29"/>
  <c r="C127" i="21"/>
  <c r="C127" i="9"/>
  <c r="A128" i="29"/>
  <c r="A128" i="21"/>
  <c r="A128" i="9"/>
  <c r="C131" i="29"/>
  <c r="C131" i="9"/>
  <c r="C131" i="21"/>
  <c r="A132" i="21"/>
  <c r="A132" i="29"/>
  <c r="A132" i="9"/>
  <c r="C135" i="21"/>
  <c r="C135" i="29"/>
  <c r="C135" i="9"/>
  <c r="A136" i="29"/>
  <c r="A136" i="9"/>
  <c r="A136" i="21"/>
  <c r="C139" i="29"/>
  <c r="C139" i="21"/>
  <c r="C139" i="9"/>
  <c r="A140" i="29"/>
  <c r="A140" i="21"/>
  <c r="A140" i="9"/>
  <c r="C143" i="29"/>
  <c r="C143" i="21"/>
  <c r="C143" i="9"/>
  <c r="A144" i="29"/>
  <c r="A144" i="21"/>
  <c r="A144" i="9"/>
  <c r="C147" i="29"/>
  <c r="C147" i="9"/>
  <c r="C147" i="21"/>
  <c r="A148" i="29"/>
  <c r="A148" i="21"/>
  <c r="A148" i="9"/>
  <c r="C151" i="29"/>
  <c r="C151" i="21"/>
  <c r="C151" i="9"/>
  <c r="A152" i="21"/>
  <c r="A152" i="9"/>
  <c r="A152" i="29"/>
  <c r="C155" i="29"/>
  <c r="C155" i="21"/>
  <c r="C155" i="9"/>
  <c r="A156" i="29"/>
  <c r="A156" i="21"/>
  <c r="A156" i="9"/>
  <c r="A159" i="21"/>
  <c r="A159" i="9"/>
  <c r="A159" i="29"/>
  <c r="C162" i="29"/>
  <c r="C162" i="21"/>
  <c r="C162" i="9"/>
  <c r="A163" i="29"/>
  <c r="A163" i="21"/>
  <c r="A163" i="9"/>
  <c r="C166" i="29"/>
  <c r="C166" i="21"/>
  <c r="C166" i="9"/>
  <c r="A167" i="29"/>
  <c r="A167" i="21"/>
  <c r="A167" i="9"/>
  <c r="C170" i="29"/>
  <c r="C170" i="21"/>
  <c r="C170" i="9"/>
  <c r="A171" i="29"/>
  <c r="A171" i="21"/>
  <c r="A171" i="9"/>
  <c r="C174" i="29"/>
  <c r="C174" i="21"/>
  <c r="C174" i="9"/>
  <c r="A175" i="29"/>
  <c r="A175" i="21"/>
  <c r="A175" i="9"/>
  <c r="C178" i="29"/>
  <c r="C178" i="21"/>
  <c r="C178" i="9"/>
  <c r="A179" i="29"/>
  <c r="A179" i="21"/>
  <c r="A179" i="9"/>
  <c r="C182" i="29"/>
  <c r="C182" i="21"/>
  <c r="C182" i="9"/>
  <c r="A183" i="29"/>
  <c r="A183" i="21"/>
  <c r="A183" i="9"/>
  <c r="C186" i="29"/>
  <c r="C186" i="21"/>
  <c r="C186" i="9"/>
  <c r="A187" i="29"/>
  <c r="A187" i="21"/>
  <c r="A187" i="9"/>
  <c r="C190" i="29"/>
  <c r="C190" i="21"/>
  <c r="C190" i="9"/>
  <c r="A191" i="29"/>
  <c r="A191" i="21"/>
  <c r="A191" i="9"/>
  <c r="C194" i="29"/>
  <c r="C194" i="21"/>
  <c r="C194" i="9"/>
  <c r="A195" i="29"/>
  <c r="A195" i="21"/>
  <c r="A195" i="9"/>
  <c r="C198" i="29"/>
  <c r="C198" i="21"/>
  <c r="C198" i="9"/>
  <c r="A199" i="21"/>
  <c r="A199" i="9"/>
  <c r="A199" i="29"/>
  <c r="C202" i="29"/>
  <c r="C202" i="21"/>
  <c r="C202" i="9"/>
  <c r="A203" i="29"/>
  <c r="A203" i="21"/>
  <c r="A203" i="9"/>
  <c r="C206" i="29"/>
  <c r="C206" i="21"/>
  <c r="C206" i="9"/>
  <c r="A207" i="29"/>
  <c r="A207" i="21"/>
  <c r="A207" i="9"/>
  <c r="C210" i="29"/>
  <c r="C210" i="21"/>
  <c r="C210" i="9"/>
  <c r="A211" i="29"/>
  <c r="A211" i="21"/>
  <c r="A211" i="9"/>
  <c r="C214" i="29"/>
  <c r="C214" i="21"/>
  <c r="C214" i="9"/>
  <c r="A215" i="29"/>
  <c r="A215" i="21"/>
  <c r="A215" i="9"/>
  <c r="C218" i="29"/>
  <c r="C218" i="21"/>
  <c r="C218" i="9"/>
  <c r="A219" i="29"/>
  <c r="A219" i="21"/>
  <c r="A219" i="9"/>
  <c r="C222" i="29"/>
  <c r="C222" i="21"/>
  <c r="C222" i="9"/>
  <c r="A223" i="21"/>
  <c r="A223" i="29"/>
  <c r="A223" i="9"/>
  <c r="C226" i="29"/>
  <c r="C226" i="21"/>
  <c r="C226" i="9"/>
  <c r="A227" i="29"/>
  <c r="A227" i="21"/>
  <c r="A227" i="9"/>
  <c r="C230" i="29"/>
  <c r="C230" i="21"/>
  <c r="C230" i="9"/>
  <c r="A231" i="29"/>
  <c r="A231" i="21"/>
  <c r="A231" i="9"/>
  <c r="C234" i="29"/>
  <c r="C234" i="21"/>
  <c r="C234" i="9"/>
  <c r="A235" i="29"/>
  <c r="A235" i="21"/>
  <c r="A235" i="9"/>
  <c r="C238" i="29"/>
  <c r="C238" i="21"/>
  <c r="C238" i="9"/>
  <c r="A239" i="29"/>
  <c r="A239" i="21"/>
  <c r="A239" i="9"/>
  <c r="C242" i="29"/>
  <c r="C242" i="21"/>
  <c r="C242" i="9"/>
  <c r="A243" i="29"/>
  <c r="A243" i="21"/>
  <c r="A243" i="9"/>
  <c r="C246" i="29"/>
  <c r="C246" i="21"/>
  <c r="C246" i="9"/>
  <c r="A247" i="29"/>
  <c r="A247" i="21"/>
  <c r="A247" i="9"/>
  <c r="C250" i="29"/>
  <c r="C250" i="21"/>
  <c r="C250" i="9"/>
  <c r="A251" i="29"/>
  <c r="A251" i="21"/>
  <c r="A251" i="9"/>
  <c r="C254" i="29"/>
  <c r="C254" i="21"/>
  <c r="C254" i="9"/>
  <c r="A255" i="29"/>
  <c r="A255" i="21"/>
  <c r="A255" i="9"/>
  <c r="C258" i="29"/>
  <c r="C258" i="21"/>
  <c r="C258" i="9"/>
  <c r="A259" i="29"/>
  <c r="A259" i="21"/>
  <c r="A259" i="9"/>
  <c r="C262" i="29"/>
  <c r="C262" i="21"/>
  <c r="C262" i="9"/>
  <c r="C264" i="29"/>
  <c r="C264" i="21"/>
  <c r="C264" i="9"/>
  <c r="A265" i="29"/>
  <c r="A265" i="21"/>
  <c r="A265" i="9"/>
  <c r="C268" i="29"/>
  <c r="C268" i="21"/>
  <c r="C268" i="9"/>
  <c r="A269" i="29"/>
  <c r="A269" i="21"/>
  <c r="A269" i="9"/>
  <c r="C272" i="29"/>
  <c r="C272" i="21"/>
  <c r="C272" i="9"/>
  <c r="A273" i="29"/>
  <c r="A273" i="21"/>
  <c r="A273" i="9"/>
  <c r="C276" i="29"/>
  <c r="C276" i="21"/>
  <c r="C276" i="9"/>
  <c r="A277" i="21"/>
  <c r="A277" i="29"/>
  <c r="A277" i="9"/>
  <c r="C280" i="29"/>
  <c r="C280" i="21"/>
  <c r="C280" i="9"/>
  <c r="A281" i="29"/>
  <c r="A281" i="21"/>
  <c r="A281" i="9"/>
  <c r="C284" i="29"/>
  <c r="C284" i="21"/>
  <c r="C284" i="9"/>
  <c r="A285" i="29"/>
  <c r="A285" i="21"/>
  <c r="A285" i="9"/>
  <c r="C288" i="29"/>
  <c r="C288" i="21"/>
  <c r="C288" i="9"/>
  <c r="A289" i="29"/>
  <c r="A289" i="21"/>
  <c r="A289" i="9"/>
  <c r="C292" i="29"/>
  <c r="C292" i="21"/>
  <c r="C292" i="9"/>
  <c r="A293" i="21"/>
  <c r="A293" i="29"/>
  <c r="A293" i="9"/>
  <c r="C295" i="29"/>
  <c r="C295" i="21"/>
  <c r="C295" i="9"/>
  <c r="A296" i="29"/>
  <c r="A296" i="21"/>
  <c r="A296" i="9"/>
  <c r="C299" i="29"/>
  <c r="C299" i="21"/>
  <c r="C299" i="9"/>
  <c r="A300" i="29"/>
  <c r="A300" i="21"/>
  <c r="A300" i="9"/>
  <c r="B191" i="29"/>
  <c r="B191" i="21"/>
  <c r="B191" i="9"/>
  <c r="B195" i="29"/>
  <c r="B195" i="21"/>
  <c r="B195" i="9"/>
  <c r="B199" i="29"/>
  <c r="B199" i="21"/>
  <c r="B199" i="9"/>
  <c r="B203" i="29"/>
  <c r="B203" i="9"/>
  <c r="B203" i="21"/>
  <c r="B207" i="29"/>
  <c r="B207" i="21"/>
  <c r="B207" i="9"/>
  <c r="B211" i="29"/>
  <c r="B211" i="9"/>
  <c r="B211" i="21"/>
  <c r="B215" i="29"/>
  <c r="B215" i="21"/>
  <c r="B215" i="9"/>
  <c r="B219" i="29"/>
  <c r="B219" i="21"/>
  <c r="B219" i="9"/>
  <c r="B223" i="29"/>
  <c r="B223" i="21"/>
  <c r="B223" i="9"/>
  <c r="B227" i="29"/>
  <c r="B227" i="9"/>
  <c r="B227" i="21"/>
  <c r="B231" i="29"/>
  <c r="B231" i="21"/>
  <c r="B231" i="9"/>
  <c r="B235" i="29"/>
  <c r="B235" i="9"/>
  <c r="B235" i="21"/>
  <c r="B239" i="29"/>
  <c r="B239" i="21"/>
  <c r="B239" i="9"/>
  <c r="B243" i="29"/>
  <c r="B243" i="9"/>
  <c r="B243" i="21"/>
  <c r="B247" i="29"/>
  <c r="B247" i="21"/>
  <c r="B247" i="9"/>
  <c r="B251" i="29"/>
  <c r="B251" i="9"/>
  <c r="B251" i="21"/>
  <c r="B255" i="29"/>
  <c r="B255" i="21"/>
  <c r="B255" i="9"/>
  <c r="B259" i="29"/>
  <c r="B259" i="21"/>
  <c r="B259" i="9"/>
  <c r="B265" i="29"/>
  <c r="B265" i="9"/>
  <c r="B265" i="21"/>
  <c r="B269" i="29"/>
  <c r="B269" i="21"/>
  <c r="B269" i="9"/>
  <c r="B273" i="29"/>
  <c r="B273" i="9"/>
  <c r="B273" i="21"/>
  <c r="B277" i="29"/>
  <c r="B277" i="21"/>
  <c r="B277" i="9"/>
  <c r="B281" i="29"/>
  <c r="B281" i="21"/>
  <c r="B281" i="9"/>
  <c r="B285" i="29"/>
  <c r="B285" i="21"/>
  <c r="B285" i="9"/>
  <c r="B289" i="29"/>
  <c r="B289" i="9"/>
  <c r="B289" i="21"/>
  <c r="B293" i="29"/>
  <c r="B293" i="21"/>
  <c r="B293" i="9"/>
  <c r="B296" i="29"/>
  <c r="B296" i="9"/>
  <c r="B296" i="21"/>
  <c r="B300" i="29"/>
  <c r="B300" i="21"/>
  <c r="B300" i="9"/>
  <c r="AC302" i="53"/>
  <c r="B22" i="29"/>
  <c r="B22" i="21"/>
  <c r="B22" i="9"/>
  <c r="B26" i="29"/>
  <c r="B26" i="21"/>
  <c r="B26" i="9"/>
  <c r="B64" i="29"/>
  <c r="B64" i="21"/>
  <c r="B64" i="9"/>
  <c r="B68" i="29"/>
  <c r="B68" i="21"/>
  <c r="B68" i="9"/>
  <c r="B84" i="29"/>
  <c r="B84" i="21"/>
  <c r="B84" i="9"/>
  <c r="B88" i="29"/>
  <c r="B88" i="21"/>
  <c r="B88" i="9"/>
  <c r="B100" i="29"/>
  <c r="B100" i="21"/>
  <c r="B100" i="9"/>
  <c r="B120" i="29"/>
  <c r="B120" i="21"/>
  <c r="B120" i="9"/>
  <c r="B148" i="29"/>
  <c r="B148" i="21"/>
  <c r="B148" i="9"/>
  <c r="B167" i="29"/>
  <c r="B167" i="21"/>
  <c r="B167" i="9"/>
  <c r="B175" i="29"/>
  <c r="B175" i="21"/>
  <c r="B175" i="9"/>
  <c r="B183" i="29"/>
  <c r="B183" i="21"/>
  <c r="B183" i="9"/>
  <c r="B187" i="29"/>
  <c r="B187" i="21"/>
  <c r="B187" i="9"/>
  <c r="C10" i="29"/>
  <c r="C10" i="21"/>
  <c r="C10" i="9"/>
  <c r="A11" i="29"/>
  <c r="A11" i="21"/>
  <c r="A11" i="9"/>
  <c r="C14" i="29"/>
  <c r="C14" i="21"/>
  <c r="C14" i="9"/>
  <c r="A15" i="29"/>
  <c r="A15" i="21"/>
  <c r="A15" i="9"/>
  <c r="C18" i="29"/>
  <c r="C18" i="21"/>
  <c r="C18" i="9"/>
  <c r="A19" i="29"/>
  <c r="A19" i="21"/>
  <c r="A19" i="9"/>
  <c r="C22" i="29"/>
  <c r="C22" i="21"/>
  <c r="C22" i="9"/>
  <c r="A23" i="29"/>
  <c r="A23" i="21"/>
  <c r="A23" i="9"/>
  <c r="C26" i="29"/>
  <c r="C26" i="21"/>
  <c r="C26" i="9"/>
  <c r="A27" i="29"/>
  <c r="A27" i="21"/>
  <c r="A27" i="9"/>
  <c r="C30" i="29"/>
  <c r="C30" i="21"/>
  <c r="C30" i="9"/>
  <c r="A31" i="21"/>
  <c r="A31" i="29"/>
  <c r="A31" i="9"/>
  <c r="C34" i="29"/>
  <c r="C34" i="21"/>
  <c r="C34" i="9"/>
  <c r="C36" i="29"/>
  <c r="C36" i="21"/>
  <c r="C36" i="9"/>
  <c r="A37" i="29"/>
  <c r="A37" i="21"/>
  <c r="A37" i="9"/>
  <c r="C40" i="29"/>
  <c r="C40" i="21"/>
  <c r="C40" i="9"/>
  <c r="A41" i="29"/>
  <c r="A41" i="9"/>
  <c r="A41" i="21"/>
  <c r="C44" i="29"/>
  <c r="C44" i="21"/>
  <c r="C44" i="9"/>
  <c r="A45" i="29"/>
  <c r="A45" i="21"/>
  <c r="A45" i="9"/>
  <c r="C48" i="29"/>
  <c r="C48" i="9"/>
  <c r="C48" i="21"/>
  <c r="A49" i="29"/>
  <c r="A49" i="21"/>
  <c r="A49" i="9"/>
  <c r="C52" i="29"/>
  <c r="C52" i="21"/>
  <c r="C52" i="9"/>
  <c r="A53" i="29"/>
  <c r="A53" i="21"/>
  <c r="A53" i="9"/>
  <c r="C56" i="29"/>
  <c r="C56" i="21"/>
  <c r="C56" i="9"/>
  <c r="A57" i="29"/>
  <c r="A57" i="21"/>
  <c r="A57" i="9"/>
  <c r="C60" i="29"/>
  <c r="C60" i="21"/>
  <c r="C60" i="9"/>
  <c r="A61" i="29"/>
  <c r="A61" i="21"/>
  <c r="A61" i="9"/>
  <c r="C64" i="29"/>
  <c r="C64" i="21"/>
  <c r="C64" i="9"/>
  <c r="A65" i="29"/>
  <c r="A65" i="21"/>
  <c r="A65" i="9"/>
  <c r="C68" i="29"/>
  <c r="C68" i="21"/>
  <c r="C68" i="9"/>
  <c r="A69" i="29"/>
  <c r="A69" i="21"/>
  <c r="A69" i="9"/>
  <c r="C72" i="29"/>
  <c r="C72" i="21"/>
  <c r="C72" i="9"/>
  <c r="A73" i="29"/>
  <c r="A73" i="21"/>
  <c r="A73" i="9"/>
  <c r="C76" i="29"/>
  <c r="C76" i="21"/>
  <c r="C76" i="9"/>
  <c r="A77" i="29"/>
  <c r="A77" i="21"/>
  <c r="A77" i="9"/>
  <c r="C80" i="29"/>
  <c r="C80" i="21"/>
  <c r="C80" i="9"/>
  <c r="A81" i="29"/>
  <c r="A81" i="21"/>
  <c r="A81" i="9"/>
  <c r="C84" i="29"/>
  <c r="C84" i="21"/>
  <c r="C84" i="9"/>
  <c r="A85" i="29"/>
  <c r="A85" i="21"/>
  <c r="A85" i="9"/>
  <c r="C88" i="29"/>
  <c r="C88" i="21"/>
  <c r="C88" i="9"/>
  <c r="A89" i="29"/>
  <c r="A89" i="21"/>
  <c r="A89" i="9"/>
  <c r="C92" i="29"/>
  <c r="C92" i="21"/>
  <c r="C92" i="9"/>
  <c r="A93" i="21"/>
  <c r="A93" i="29"/>
  <c r="A93" i="9"/>
  <c r="C96" i="29"/>
  <c r="C96" i="21"/>
  <c r="C96" i="9"/>
  <c r="A97" i="29"/>
  <c r="A97" i="9"/>
  <c r="A97" i="21"/>
  <c r="C100" i="29"/>
  <c r="C100" i="21"/>
  <c r="C100" i="9"/>
  <c r="A101" i="29"/>
  <c r="A101" i="21"/>
  <c r="A101" i="9"/>
  <c r="C104" i="29"/>
  <c r="C104" i="21"/>
  <c r="C104" i="9"/>
  <c r="A105" i="29"/>
  <c r="A105" i="9"/>
  <c r="A105" i="21"/>
  <c r="C108" i="29"/>
  <c r="C108" i="9"/>
  <c r="C108" i="21"/>
  <c r="A109" i="21"/>
  <c r="A109" i="9"/>
  <c r="A109" i="29"/>
  <c r="C112" i="29"/>
  <c r="C112" i="21"/>
  <c r="C112" i="9"/>
  <c r="A113" i="29"/>
  <c r="A113" i="21"/>
  <c r="A113" i="9"/>
  <c r="C116" i="29"/>
  <c r="C116" i="21"/>
  <c r="C116" i="9"/>
  <c r="A117" i="29"/>
  <c r="A117" i="21"/>
  <c r="A117" i="9"/>
  <c r="C120" i="29"/>
  <c r="C120" i="21"/>
  <c r="C120" i="9"/>
  <c r="A121" i="29"/>
  <c r="A121" i="9"/>
  <c r="A121" i="21"/>
  <c r="C124" i="29"/>
  <c r="C124" i="9"/>
  <c r="C124" i="21"/>
  <c r="A125" i="29"/>
  <c r="A125" i="21"/>
  <c r="A125" i="9"/>
  <c r="C128" i="29"/>
  <c r="C128" i="21"/>
  <c r="C128" i="9"/>
  <c r="A129" i="29"/>
  <c r="A129" i="21"/>
  <c r="A129" i="9"/>
  <c r="C132" i="29"/>
  <c r="C132" i="21"/>
  <c r="C132" i="9"/>
  <c r="A133" i="29"/>
  <c r="A133" i="21"/>
  <c r="A133" i="9"/>
  <c r="C136" i="29"/>
  <c r="C136" i="21"/>
  <c r="C136" i="9"/>
  <c r="A137" i="29"/>
  <c r="A137" i="9"/>
  <c r="A137" i="21"/>
  <c r="C140" i="29"/>
  <c r="C140" i="9"/>
  <c r="C140" i="21"/>
  <c r="A141" i="29"/>
  <c r="A141" i="21"/>
  <c r="A141" i="9"/>
  <c r="C144" i="21"/>
  <c r="C144" i="29"/>
  <c r="C144" i="9"/>
  <c r="A145" i="29"/>
  <c r="A145" i="21"/>
  <c r="A145" i="9"/>
  <c r="C148" i="29"/>
  <c r="C148" i="9"/>
  <c r="C148" i="21"/>
  <c r="A149" i="29"/>
  <c r="A149" i="21"/>
  <c r="A149" i="9"/>
  <c r="C152" i="29"/>
  <c r="C152" i="21"/>
  <c r="C152" i="9"/>
  <c r="A153" i="29"/>
  <c r="A153" i="21"/>
  <c r="A153" i="9"/>
  <c r="C156" i="29"/>
  <c r="C156" i="21"/>
  <c r="C156" i="9"/>
  <c r="A157" i="29"/>
  <c r="A157" i="21"/>
  <c r="A157" i="9"/>
  <c r="C159" i="29"/>
  <c r="C159" i="21"/>
  <c r="C159" i="9"/>
  <c r="A160" i="29"/>
  <c r="A160" i="21"/>
  <c r="A160" i="9"/>
  <c r="C163" i="21"/>
  <c r="C163" i="9"/>
  <c r="C163" i="29"/>
  <c r="A164" i="29"/>
  <c r="A164" i="21"/>
  <c r="A164" i="9"/>
  <c r="C167" i="29"/>
  <c r="C167" i="21"/>
  <c r="C167" i="9"/>
  <c r="A168" i="29"/>
  <c r="A168" i="21"/>
  <c r="A168" i="9"/>
  <c r="C171" i="29"/>
  <c r="C171" i="21"/>
  <c r="C171" i="9"/>
  <c r="A172" i="29"/>
  <c r="A172" i="21"/>
  <c r="A172" i="9"/>
  <c r="C175" i="29"/>
  <c r="C175" i="21"/>
  <c r="C175" i="9"/>
  <c r="A176" i="29"/>
  <c r="A176" i="21"/>
  <c r="A176" i="9"/>
  <c r="C179" i="21"/>
  <c r="C179" i="9"/>
  <c r="C179" i="29"/>
  <c r="A180" i="29"/>
  <c r="A180" i="21"/>
  <c r="A180" i="9"/>
  <c r="C183" i="29"/>
  <c r="C183" i="21"/>
  <c r="C183" i="9"/>
  <c r="A184" i="29"/>
  <c r="A184" i="21"/>
  <c r="A184" i="9"/>
  <c r="C187" i="21"/>
  <c r="C187" i="9"/>
  <c r="C187" i="29"/>
  <c r="A188" i="29"/>
  <c r="A188" i="21"/>
  <c r="A188" i="9"/>
  <c r="C191" i="29"/>
  <c r="C191" i="21"/>
  <c r="C191" i="9"/>
  <c r="A192" i="29"/>
  <c r="A192" i="21"/>
  <c r="A192" i="9"/>
  <c r="C195" i="29"/>
  <c r="C195" i="21"/>
  <c r="C195" i="9"/>
  <c r="A196" i="29"/>
  <c r="A196" i="21"/>
  <c r="A196" i="9"/>
  <c r="C199" i="29"/>
  <c r="C199" i="21"/>
  <c r="C199" i="9"/>
  <c r="A200" i="29"/>
  <c r="A200" i="21"/>
  <c r="A200" i="9"/>
  <c r="C203" i="29"/>
  <c r="C203" i="21"/>
  <c r="C203" i="9"/>
  <c r="A204" i="29"/>
  <c r="A204" i="21"/>
  <c r="A204" i="9"/>
  <c r="C207" i="21"/>
  <c r="C207" i="29"/>
  <c r="C207" i="9"/>
  <c r="A208" i="29"/>
  <c r="A208" i="21"/>
  <c r="A208" i="9"/>
  <c r="C211" i="29"/>
  <c r="C211" i="21"/>
  <c r="C211" i="9"/>
  <c r="A212" i="29"/>
  <c r="A212" i="21"/>
  <c r="A212" i="9"/>
  <c r="C215" i="29"/>
  <c r="C215" i="21"/>
  <c r="C215" i="9"/>
  <c r="A216" i="29"/>
  <c r="A216" i="21"/>
  <c r="A216" i="9"/>
  <c r="C219" i="29"/>
  <c r="C219" i="21"/>
  <c r="C219" i="9"/>
  <c r="A220" i="29"/>
  <c r="A220" i="21"/>
  <c r="A220" i="9"/>
  <c r="C223" i="29"/>
  <c r="C223" i="21"/>
  <c r="C223" i="9"/>
  <c r="A224" i="29"/>
  <c r="A224" i="21"/>
  <c r="A224" i="9"/>
  <c r="C227" i="21"/>
  <c r="C227" i="29"/>
  <c r="C227" i="9"/>
  <c r="A228" i="29"/>
  <c r="A228" i="21"/>
  <c r="A228" i="9"/>
  <c r="C231" i="29"/>
  <c r="C231" i="21"/>
  <c r="C231" i="9"/>
  <c r="A232" i="29"/>
  <c r="A232" i="21"/>
  <c r="A232" i="9"/>
  <c r="C235" i="29"/>
  <c r="C235" i="21"/>
  <c r="C235" i="9"/>
  <c r="A236" i="29"/>
  <c r="A236" i="21"/>
  <c r="A236" i="9"/>
  <c r="C239" i="29"/>
  <c r="C239" i="21"/>
  <c r="C239" i="9"/>
  <c r="A240" i="29"/>
  <c r="A240" i="21"/>
  <c r="A240" i="9"/>
  <c r="C243" i="21"/>
  <c r="C243" i="29"/>
  <c r="C243" i="9"/>
  <c r="A244" i="29"/>
  <c r="A244" i="21"/>
  <c r="A244" i="9"/>
  <c r="C247" i="29"/>
  <c r="C247" i="21"/>
  <c r="C247" i="9"/>
  <c r="A248" i="29"/>
  <c r="A248" i="21"/>
  <c r="A248" i="9"/>
  <c r="C251" i="21"/>
  <c r="C251" i="29"/>
  <c r="C251" i="9"/>
  <c r="A252" i="29"/>
  <c r="A252" i="21"/>
  <c r="A252" i="9"/>
  <c r="C255" i="29"/>
  <c r="C255" i="21"/>
  <c r="C255" i="9"/>
  <c r="A256" i="29"/>
  <c r="A256" i="21"/>
  <c r="A256" i="9"/>
  <c r="C259" i="29"/>
  <c r="C259" i="21"/>
  <c r="C259" i="9"/>
  <c r="A260" i="29"/>
  <c r="A260" i="21"/>
  <c r="A260" i="9"/>
  <c r="C265" i="29"/>
  <c r="C265" i="21"/>
  <c r="C265" i="9"/>
  <c r="A266" i="29"/>
  <c r="A266" i="21"/>
  <c r="A266" i="9"/>
  <c r="C269" i="29"/>
  <c r="C269" i="21"/>
  <c r="C269" i="9"/>
  <c r="A270" i="29"/>
  <c r="A270" i="21"/>
  <c r="A270" i="9"/>
  <c r="C273" i="29"/>
  <c r="C273" i="21"/>
  <c r="C273" i="9"/>
  <c r="A274" i="29"/>
  <c r="A274" i="21"/>
  <c r="A274" i="9"/>
  <c r="C277" i="21"/>
  <c r="C277" i="29"/>
  <c r="C277" i="9"/>
  <c r="A278" i="29"/>
  <c r="A278" i="21"/>
  <c r="A278" i="9"/>
  <c r="C281" i="29"/>
  <c r="C281" i="21"/>
  <c r="C281" i="9"/>
  <c r="A282" i="29"/>
  <c r="A282" i="21"/>
  <c r="A282" i="9"/>
  <c r="C285" i="29"/>
  <c r="C285" i="21"/>
  <c r="C285" i="9"/>
  <c r="A286" i="29"/>
  <c r="A286" i="21"/>
  <c r="A286" i="9"/>
  <c r="C289" i="21"/>
  <c r="C289" i="29"/>
  <c r="C289" i="9"/>
  <c r="A290" i="29"/>
  <c r="A290" i="21"/>
  <c r="A290" i="9"/>
  <c r="C293" i="29"/>
  <c r="C293" i="21"/>
  <c r="C293" i="9"/>
  <c r="C296" i="29"/>
  <c r="C296" i="21"/>
  <c r="C296" i="9"/>
  <c r="A297" i="29"/>
  <c r="A297" i="21"/>
  <c r="A297" i="9"/>
  <c r="C300" i="29"/>
  <c r="C300" i="21"/>
  <c r="C300" i="9"/>
  <c r="A301" i="29"/>
  <c r="A301" i="21"/>
  <c r="A301" i="9"/>
  <c r="C8" i="21"/>
  <c r="C8" i="29"/>
  <c r="C8" i="9"/>
  <c r="B14" i="29"/>
  <c r="B14" i="21"/>
  <c r="B14" i="9"/>
  <c r="B18" i="29"/>
  <c r="B18" i="21"/>
  <c r="B18" i="9"/>
  <c r="B30" i="29"/>
  <c r="B30" i="21"/>
  <c r="B30" i="9"/>
  <c r="B52" i="29"/>
  <c r="B52" i="21"/>
  <c r="B52" i="9"/>
  <c r="B72" i="29"/>
  <c r="B72" i="21"/>
  <c r="B72" i="9"/>
  <c r="B76" i="29"/>
  <c r="B76" i="21"/>
  <c r="B76" i="9"/>
  <c r="B104" i="29"/>
  <c r="B104" i="21"/>
  <c r="B104" i="9"/>
  <c r="B124" i="29"/>
  <c r="B124" i="21"/>
  <c r="B124" i="9"/>
  <c r="B128" i="29"/>
  <c r="B128" i="21"/>
  <c r="B128" i="9"/>
  <c r="B140" i="29"/>
  <c r="B140" i="21"/>
  <c r="B140" i="9"/>
  <c r="B144" i="29"/>
  <c r="B144" i="21"/>
  <c r="B144" i="9"/>
  <c r="B11" i="29"/>
  <c r="B11" i="21"/>
  <c r="B11" i="9"/>
  <c r="B23" i="29"/>
  <c r="B23" i="21"/>
  <c r="B23" i="9"/>
  <c r="B27" i="29"/>
  <c r="B27" i="21"/>
  <c r="B27" i="9"/>
  <c r="B31" i="29"/>
  <c r="B31" i="21"/>
  <c r="B31" i="9"/>
  <c r="B37" i="29"/>
  <c r="B37" i="21"/>
  <c r="B37" i="9"/>
  <c r="B41" i="21"/>
  <c r="B41" i="29"/>
  <c r="B41" i="9"/>
  <c r="B45" i="29"/>
  <c r="B45" i="9"/>
  <c r="B45" i="21"/>
  <c r="B49" i="29"/>
  <c r="B49" i="21"/>
  <c r="B49" i="9"/>
  <c r="B53" i="29"/>
  <c r="B53" i="9"/>
  <c r="B53" i="21"/>
  <c r="B57" i="29"/>
  <c r="B57" i="21"/>
  <c r="B57" i="9"/>
  <c r="B61" i="29"/>
  <c r="B61" i="9"/>
  <c r="B61" i="21"/>
  <c r="B65" i="29"/>
  <c r="B65" i="21"/>
  <c r="B65" i="9"/>
  <c r="B69" i="29"/>
  <c r="B69" i="9"/>
  <c r="B69" i="21"/>
  <c r="B73" i="21"/>
  <c r="B73" i="29"/>
  <c r="B73" i="9"/>
  <c r="B77" i="29"/>
  <c r="B77" i="9"/>
  <c r="B77" i="21"/>
  <c r="B81" i="29"/>
  <c r="B81" i="21"/>
  <c r="B81" i="9"/>
  <c r="B85" i="21"/>
  <c r="B85" i="9"/>
  <c r="B85" i="29"/>
  <c r="B89" i="29"/>
  <c r="B89" i="21"/>
  <c r="B89" i="9"/>
  <c r="B93" i="29"/>
  <c r="B93" i="21"/>
  <c r="B93" i="9"/>
  <c r="B97" i="29"/>
  <c r="B97" i="21"/>
  <c r="B97" i="9"/>
  <c r="B101" i="29"/>
  <c r="B101" i="21"/>
  <c r="B101" i="9"/>
  <c r="B105" i="21"/>
  <c r="B105" i="29"/>
  <c r="B105" i="9"/>
  <c r="B109" i="29"/>
  <c r="B109" i="9"/>
  <c r="B109" i="21"/>
  <c r="B113" i="29"/>
  <c r="B113" i="21"/>
  <c r="B113" i="9"/>
  <c r="B117" i="29"/>
  <c r="B117" i="21"/>
  <c r="B117" i="9"/>
  <c r="B121" i="21"/>
  <c r="B121" i="29"/>
  <c r="B121" i="9"/>
  <c r="B125" i="9"/>
  <c r="B125" i="21"/>
  <c r="B125" i="29"/>
  <c r="B129" i="29"/>
  <c r="B129" i="21"/>
  <c r="B129" i="9"/>
  <c r="B133" i="29"/>
  <c r="B133" i="21"/>
  <c r="B133" i="9"/>
  <c r="B137" i="29"/>
  <c r="B137" i="21"/>
  <c r="B137" i="9"/>
  <c r="B141" i="29"/>
  <c r="B141" i="9"/>
  <c r="B141" i="21"/>
  <c r="B145" i="29"/>
  <c r="B145" i="21"/>
  <c r="B145" i="9"/>
  <c r="B149" i="29"/>
  <c r="B149" i="21"/>
  <c r="B149" i="9"/>
  <c r="B153" i="29"/>
  <c r="B153" i="21"/>
  <c r="B153" i="9"/>
  <c r="B157" i="29"/>
  <c r="B157" i="21"/>
  <c r="B157" i="9"/>
  <c r="B160" i="29"/>
  <c r="B160" i="21"/>
  <c r="B160" i="9"/>
  <c r="B164" i="29"/>
  <c r="B164" i="21"/>
  <c r="B164" i="9"/>
  <c r="B168" i="29"/>
  <c r="B168" i="21"/>
  <c r="B168" i="9"/>
  <c r="B172" i="29"/>
  <c r="B172" i="21"/>
  <c r="B172" i="9"/>
  <c r="B176" i="29"/>
  <c r="B176" i="21"/>
  <c r="B176" i="9"/>
  <c r="B180" i="21"/>
  <c r="B180" i="9"/>
  <c r="B180" i="29"/>
  <c r="B184" i="29"/>
  <c r="B184" i="21"/>
  <c r="B184" i="9"/>
  <c r="B188" i="29"/>
  <c r="B188" i="21"/>
  <c r="B188" i="9"/>
  <c r="B192" i="29"/>
  <c r="B192" i="21"/>
  <c r="B192" i="9"/>
  <c r="B196" i="29"/>
  <c r="B196" i="21"/>
  <c r="B196" i="9"/>
  <c r="B200" i="29"/>
  <c r="B200" i="21"/>
  <c r="B200" i="9"/>
  <c r="B204" i="29"/>
  <c r="B204" i="21"/>
  <c r="B204" i="9"/>
  <c r="B208" i="29"/>
  <c r="B208" i="21"/>
  <c r="B208" i="9"/>
  <c r="B212" i="29"/>
  <c r="B212" i="21"/>
  <c r="B212" i="9"/>
  <c r="B216" i="29"/>
  <c r="B216" i="21"/>
  <c r="B216" i="9"/>
  <c r="B220" i="21"/>
  <c r="B220" i="29"/>
  <c r="B220" i="9"/>
  <c r="B224" i="29"/>
  <c r="B224" i="21"/>
  <c r="B224" i="9"/>
  <c r="B228" i="29"/>
  <c r="B228" i="21"/>
  <c r="B228" i="9"/>
  <c r="B232" i="29"/>
  <c r="B232" i="21"/>
  <c r="B232" i="9"/>
  <c r="B236" i="21"/>
  <c r="B236" i="29"/>
  <c r="B236" i="9"/>
  <c r="B240" i="29"/>
  <c r="B240" i="21"/>
  <c r="B240" i="9"/>
  <c r="B244" i="21"/>
  <c r="B244" i="29"/>
  <c r="B244" i="9"/>
  <c r="B248" i="29"/>
  <c r="B248" i="21"/>
  <c r="B248" i="9"/>
  <c r="B252" i="29"/>
  <c r="B252" i="21"/>
  <c r="B252" i="9"/>
  <c r="B256" i="29"/>
  <c r="B256" i="21"/>
  <c r="B256" i="9"/>
  <c r="B260" i="29"/>
  <c r="B260" i="21"/>
  <c r="B260" i="9"/>
  <c r="B266" i="29"/>
  <c r="B266" i="21"/>
  <c r="B266" i="9"/>
  <c r="B270" i="29"/>
  <c r="B270" i="21"/>
  <c r="B270" i="9"/>
  <c r="B274" i="29"/>
  <c r="B274" i="21"/>
  <c r="B274" i="9"/>
  <c r="B278" i="29"/>
  <c r="B278" i="21"/>
  <c r="B278" i="9"/>
  <c r="B282" i="21"/>
  <c r="B282" i="29"/>
  <c r="B282" i="9"/>
  <c r="B286" i="29"/>
  <c r="B286" i="21"/>
  <c r="B286" i="9"/>
  <c r="B290" i="29"/>
  <c r="B290" i="21"/>
  <c r="B290" i="9"/>
  <c r="B297" i="29"/>
  <c r="B297" i="21"/>
  <c r="B297" i="9"/>
  <c r="B301" i="29"/>
  <c r="B301" i="21"/>
  <c r="B301" i="9"/>
  <c r="B12" i="29"/>
  <c r="B12" i="21"/>
  <c r="B12" i="9"/>
  <c r="B10" i="29"/>
  <c r="B10" i="21"/>
  <c r="B10" i="9"/>
  <c r="B34" i="29"/>
  <c r="B34" i="21"/>
  <c r="B34" i="9"/>
  <c r="B36" i="29"/>
  <c r="B36" i="21"/>
  <c r="B36" i="9"/>
  <c r="B40" i="29"/>
  <c r="B40" i="21"/>
  <c r="B40" i="9"/>
  <c r="B44" i="29"/>
  <c r="B44" i="21"/>
  <c r="B44" i="9"/>
  <c r="B48" i="29"/>
  <c r="B48" i="21"/>
  <c r="B48" i="9"/>
  <c r="B56" i="29"/>
  <c r="B56" i="21"/>
  <c r="B56" i="9"/>
  <c r="B60" i="29"/>
  <c r="B60" i="21"/>
  <c r="B60" i="9"/>
  <c r="B80" i="29"/>
  <c r="B80" i="21"/>
  <c r="B80" i="9"/>
  <c r="B92" i="29"/>
  <c r="B92" i="21"/>
  <c r="B92" i="9"/>
  <c r="B96" i="29"/>
  <c r="B96" i="21"/>
  <c r="B96" i="9"/>
  <c r="B108" i="29"/>
  <c r="B108" i="21"/>
  <c r="B108" i="9"/>
  <c r="B112" i="29"/>
  <c r="B112" i="21"/>
  <c r="B112" i="9"/>
  <c r="B116" i="29"/>
  <c r="B116" i="21"/>
  <c r="B116" i="9"/>
  <c r="B132" i="29"/>
  <c r="B132" i="21"/>
  <c r="B132" i="9"/>
  <c r="B136" i="29"/>
  <c r="B136" i="21"/>
  <c r="B136" i="9"/>
  <c r="B152" i="29"/>
  <c r="B152" i="21"/>
  <c r="B152" i="9"/>
  <c r="B156" i="29"/>
  <c r="B156" i="21"/>
  <c r="B156" i="9"/>
  <c r="B159" i="29"/>
  <c r="B159" i="21"/>
  <c r="B159" i="9"/>
  <c r="B163" i="29"/>
  <c r="B163" i="21"/>
  <c r="B163" i="9"/>
  <c r="B171" i="29"/>
  <c r="B171" i="9"/>
  <c r="B171" i="21"/>
  <c r="B179" i="29"/>
  <c r="B179" i="9"/>
  <c r="B179" i="21"/>
  <c r="B15" i="29"/>
  <c r="B15" i="9"/>
  <c r="B15" i="21"/>
  <c r="B19" i="29"/>
  <c r="B19" i="21"/>
  <c r="B19" i="9"/>
  <c r="C11" i="29"/>
  <c r="C11" i="21"/>
  <c r="C11" i="9"/>
  <c r="A12" i="29"/>
  <c r="A12" i="21"/>
  <c r="A12" i="9"/>
  <c r="C15" i="29"/>
  <c r="C15" i="21"/>
  <c r="C15" i="9"/>
  <c r="A16" i="29"/>
  <c r="A16" i="21"/>
  <c r="A16" i="9"/>
  <c r="C19" i="29"/>
  <c r="C19" i="21"/>
  <c r="C19" i="9"/>
  <c r="A20" i="29"/>
  <c r="A20" i="21"/>
  <c r="A20" i="9"/>
  <c r="C23" i="29"/>
  <c r="C23" i="21"/>
  <c r="C23" i="9"/>
  <c r="A24" i="29"/>
  <c r="A24" i="21"/>
  <c r="A24" i="9"/>
  <c r="C27" i="29"/>
  <c r="C27" i="21"/>
  <c r="C27" i="9"/>
  <c r="A28" i="29"/>
  <c r="A28" i="21"/>
  <c r="A28" i="9"/>
  <c r="C31" i="29"/>
  <c r="C31" i="21"/>
  <c r="C31" i="9"/>
  <c r="A32" i="29"/>
  <c r="A32" i="21"/>
  <c r="A32" i="9"/>
  <c r="C37" i="29"/>
  <c r="C37" i="21"/>
  <c r="C37" i="9"/>
  <c r="A38" i="29"/>
  <c r="A38" i="21"/>
  <c r="A38" i="9"/>
  <c r="C41" i="29"/>
  <c r="C41" i="21"/>
  <c r="C41" i="9"/>
  <c r="A42" i="29"/>
  <c r="A42" i="21"/>
  <c r="A42" i="9"/>
  <c r="C45" i="29"/>
  <c r="C45" i="9"/>
  <c r="A46" i="29"/>
  <c r="A46" i="21"/>
  <c r="A46" i="9"/>
  <c r="C49" i="29"/>
  <c r="C49" i="21"/>
  <c r="C49" i="9"/>
  <c r="A50" i="29"/>
  <c r="A50" i="21"/>
  <c r="A50" i="9"/>
  <c r="C53" i="29"/>
  <c r="C53" i="21"/>
  <c r="C53" i="9"/>
  <c r="A54" i="29"/>
  <c r="A54" i="21"/>
  <c r="A54" i="9"/>
  <c r="C57" i="29"/>
  <c r="C57" i="21"/>
  <c r="C57" i="9"/>
  <c r="A58" i="29"/>
  <c r="A58" i="21"/>
  <c r="A58" i="9"/>
  <c r="C61" i="29"/>
  <c r="C61" i="21"/>
  <c r="C61" i="9"/>
  <c r="A62" i="29"/>
  <c r="A62" i="21"/>
  <c r="A62" i="9"/>
  <c r="C65" i="29"/>
  <c r="C65" i="21"/>
  <c r="C65" i="9"/>
  <c r="A66" i="29"/>
  <c r="A66" i="21"/>
  <c r="A66" i="9"/>
  <c r="C69" i="29"/>
  <c r="C69" i="21"/>
  <c r="C69" i="9"/>
  <c r="A70" i="29"/>
  <c r="A70" i="21"/>
  <c r="A70" i="9"/>
  <c r="C73" i="29"/>
  <c r="C73" i="21"/>
  <c r="C73" i="9"/>
  <c r="A74" i="29"/>
  <c r="A74" i="21"/>
  <c r="A74" i="9"/>
  <c r="C77" i="29"/>
  <c r="C77" i="21"/>
  <c r="C77" i="9"/>
  <c r="A78" i="29"/>
  <c r="A78" i="21"/>
  <c r="A78" i="9"/>
  <c r="C81" i="29"/>
  <c r="C81" i="21"/>
  <c r="C81" i="9"/>
  <c r="A82" i="29"/>
  <c r="A82" i="21"/>
  <c r="A82" i="9"/>
  <c r="C85" i="29"/>
  <c r="C85" i="21"/>
  <c r="C85" i="9"/>
  <c r="A86" i="29"/>
  <c r="A86" i="21"/>
  <c r="A86" i="9"/>
  <c r="C89" i="29"/>
  <c r="C89" i="21"/>
  <c r="C89" i="9"/>
  <c r="A90" i="29"/>
  <c r="A90" i="21"/>
  <c r="A90" i="9"/>
  <c r="C93" i="29"/>
  <c r="C93" i="21"/>
  <c r="C93" i="9"/>
  <c r="A94" i="29"/>
  <c r="A94" i="21"/>
  <c r="A94" i="9"/>
  <c r="C97" i="29"/>
  <c r="C97" i="21"/>
  <c r="C97" i="9"/>
  <c r="A98" i="29"/>
  <c r="A98" i="21"/>
  <c r="A98" i="9"/>
  <c r="C101" i="29"/>
  <c r="C101" i="21"/>
  <c r="C101" i="9"/>
  <c r="A102" i="29"/>
  <c r="A102" i="21"/>
  <c r="A102" i="9"/>
  <c r="C105" i="29"/>
  <c r="C105" i="21"/>
  <c r="C105" i="9"/>
  <c r="A106" i="29"/>
  <c r="A106" i="21"/>
  <c r="A106" i="9"/>
  <c r="C109" i="29"/>
  <c r="C109" i="21"/>
  <c r="C109" i="9"/>
  <c r="A110" i="29"/>
  <c r="A110" i="21"/>
  <c r="A110" i="9"/>
  <c r="C113" i="29"/>
  <c r="C113" i="21"/>
  <c r="C113" i="9"/>
  <c r="A114" i="29"/>
  <c r="A114" i="9"/>
  <c r="A114" i="21"/>
  <c r="C117" i="29"/>
  <c r="C117" i="21"/>
  <c r="C117" i="9"/>
  <c r="A118" i="29"/>
  <c r="A118" i="21"/>
  <c r="A118" i="9"/>
  <c r="C121" i="29"/>
  <c r="C121" i="21"/>
  <c r="C121" i="9"/>
  <c r="A122" i="29"/>
  <c r="A122" i="21"/>
  <c r="A122" i="9"/>
  <c r="C125" i="29"/>
  <c r="C125" i="21"/>
  <c r="C125" i="9"/>
  <c r="A126" i="29"/>
  <c r="A126" i="21"/>
  <c r="A126" i="9"/>
  <c r="C129" i="29"/>
  <c r="C129" i="21"/>
  <c r="C129" i="9"/>
  <c r="A130" i="29"/>
  <c r="A130" i="9"/>
  <c r="A130" i="21"/>
  <c r="C133" i="29"/>
  <c r="C133" i="21"/>
  <c r="C133" i="9"/>
  <c r="A134" i="29"/>
  <c r="A134" i="21"/>
  <c r="A134" i="9"/>
  <c r="C137" i="29"/>
  <c r="C137" i="21"/>
  <c r="C137" i="9"/>
  <c r="A138" i="21"/>
  <c r="A138" i="9"/>
  <c r="A138" i="29"/>
  <c r="C141" i="29"/>
  <c r="C141" i="21"/>
  <c r="C141" i="9"/>
  <c r="A142" i="29"/>
  <c r="A142" i="21"/>
  <c r="A142" i="9"/>
  <c r="C145" i="29"/>
  <c r="C145" i="21"/>
  <c r="C145" i="9"/>
  <c r="A146" i="9"/>
  <c r="A146" i="21"/>
  <c r="A146" i="29"/>
  <c r="C149" i="29"/>
  <c r="C149" i="21"/>
  <c r="C149" i="9"/>
  <c r="A150" i="21"/>
  <c r="A150" i="29"/>
  <c r="A150" i="9"/>
  <c r="C153" i="29"/>
  <c r="C153" i="21"/>
  <c r="C153" i="9"/>
  <c r="A154" i="29"/>
  <c r="A154" i="21"/>
  <c r="A154" i="9"/>
  <c r="C157" i="29"/>
  <c r="C157" i="21"/>
  <c r="C157" i="9"/>
  <c r="A158" i="29"/>
  <c r="A158" i="21"/>
  <c r="A158" i="9"/>
  <c r="C160" i="29"/>
  <c r="C160" i="9"/>
  <c r="C160" i="21"/>
  <c r="A161" i="29"/>
  <c r="A161" i="21"/>
  <c r="A161" i="9"/>
  <c r="C164" i="29"/>
  <c r="C164" i="21"/>
  <c r="C164" i="9"/>
  <c r="A165" i="21"/>
  <c r="A165" i="29"/>
  <c r="A165" i="9"/>
  <c r="C168" i="29"/>
  <c r="C168" i="9"/>
  <c r="C168" i="21"/>
  <c r="A169" i="29"/>
  <c r="A169" i="21"/>
  <c r="A169" i="9"/>
  <c r="C172" i="29"/>
  <c r="C172" i="21"/>
  <c r="C172" i="9"/>
  <c r="A173" i="29"/>
  <c r="A173" i="21"/>
  <c r="A173" i="9"/>
  <c r="C176" i="29"/>
  <c r="C176" i="21"/>
  <c r="C176" i="9"/>
  <c r="A177" i="29"/>
  <c r="A177" i="21"/>
  <c r="A177" i="9"/>
  <c r="C180" i="29"/>
  <c r="C180" i="21"/>
  <c r="C180" i="9"/>
  <c r="A181" i="29"/>
  <c r="A181" i="21"/>
  <c r="A181" i="9"/>
  <c r="C184" i="29"/>
  <c r="C184" i="21"/>
  <c r="C184" i="9"/>
  <c r="A185" i="21"/>
  <c r="A185" i="9"/>
  <c r="A185" i="29"/>
  <c r="C188" i="29"/>
  <c r="C188" i="21"/>
  <c r="C188" i="9"/>
  <c r="A189" i="29"/>
  <c r="A189" i="21"/>
  <c r="A189" i="9"/>
  <c r="C192" i="29"/>
  <c r="C192" i="9"/>
  <c r="C192" i="21"/>
  <c r="A193" i="29"/>
  <c r="A193" i="21"/>
  <c r="A193" i="9"/>
  <c r="C196" i="29"/>
  <c r="C196" i="21"/>
  <c r="C196" i="9"/>
  <c r="A197" i="29"/>
  <c r="A197" i="21"/>
  <c r="A197" i="9"/>
  <c r="C200" i="29"/>
  <c r="C200" i="9"/>
  <c r="C200" i="21"/>
  <c r="A201" i="21"/>
  <c r="A201" i="9"/>
  <c r="A201" i="29"/>
  <c r="C204" i="29"/>
  <c r="C204" i="21"/>
  <c r="C204" i="9"/>
  <c r="A205" i="29"/>
  <c r="A205" i="21"/>
  <c r="A205" i="9"/>
  <c r="C208" i="29"/>
  <c r="C208" i="9"/>
  <c r="C208" i="21"/>
  <c r="A209" i="29"/>
  <c r="A209" i="21"/>
  <c r="A209" i="9"/>
  <c r="C212" i="29"/>
  <c r="C212" i="21"/>
  <c r="C212" i="9"/>
  <c r="A213" i="29"/>
  <c r="A213" i="21"/>
  <c r="A213" i="9"/>
  <c r="C216" i="29"/>
  <c r="C216" i="21"/>
  <c r="C216" i="9"/>
  <c r="A217" i="29"/>
  <c r="A217" i="21"/>
  <c r="A217" i="9"/>
  <c r="C220" i="29"/>
  <c r="C220" i="21"/>
  <c r="C220" i="9"/>
  <c r="A221" i="29"/>
  <c r="A221" i="21"/>
  <c r="A221" i="9"/>
  <c r="C224" i="29"/>
  <c r="C224" i="9"/>
  <c r="C224" i="21"/>
  <c r="A225" i="29"/>
  <c r="A225" i="21"/>
  <c r="A225" i="9"/>
  <c r="C228" i="29"/>
  <c r="C228" i="21"/>
  <c r="C228" i="9"/>
  <c r="A229" i="29"/>
  <c r="A229" i="21"/>
  <c r="A229" i="9"/>
  <c r="C232" i="29"/>
  <c r="C232" i="9"/>
  <c r="C232" i="21"/>
  <c r="A233" i="29"/>
  <c r="A233" i="21"/>
  <c r="A233" i="9"/>
  <c r="C236" i="29"/>
  <c r="C236" i="21"/>
  <c r="C236" i="9"/>
  <c r="A237" i="29"/>
  <c r="A237" i="21"/>
  <c r="A237" i="9"/>
  <c r="C240" i="29"/>
  <c r="C240" i="21"/>
  <c r="C240" i="9"/>
  <c r="A241" i="29"/>
  <c r="A241" i="21"/>
  <c r="A241" i="9"/>
  <c r="C244" i="29"/>
  <c r="C244" i="21"/>
  <c r="C244" i="9"/>
  <c r="A245" i="29"/>
  <c r="A245" i="21"/>
  <c r="A245" i="9"/>
  <c r="C248" i="29"/>
  <c r="C248" i="9"/>
  <c r="C248" i="21"/>
  <c r="A249" i="29"/>
  <c r="A249" i="21"/>
  <c r="A249" i="9"/>
  <c r="C252" i="29"/>
  <c r="C252" i="21"/>
  <c r="C252" i="9"/>
  <c r="A253" i="29"/>
  <c r="A253" i="21"/>
  <c r="A253" i="9"/>
  <c r="C256" i="29"/>
  <c r="C256" i="9"/>
  <c r="C256" i="21"/>
  <c r="A257" i="29"/>
  <c r="A257" i="21"/>
  <c r="A257" i="9"/>
  <c r="C260" i="29"/>
  <c r="C260" i="21"/>
  <c r="C260" i="9"/>
  <c r="A261" i="29"/>
  <c r="A261" i="21"/>
  <c r="A261" i="9"/>
  <c r="A263" i="21"/>
  <c r="A263" i="9"/>
  <c r="A263" i="29"/>
  <c r="C266" i="29"/>
  <c r="C266" i="21"/>
  <c r="C266" i="9"/>
  <c r="A267" i="29"/>
  <c r="A267" i="21"/>
  <c r="A267" i="9"/>
  <c r="C270" i="29"/>
  <c r="C270" i="9"/>
  <c r="C270" i="21"/>
  <c r="A271" i="21"/>
  <c r="A271" i="29"/>
  <c r="A271" i="9"/>
  <c r="C274" i="29"/>
  <c r="C274" i="21"/>
  <c r="C274" i="9"/>
  <c r="A275" i="29"/>
  <c r="A275" i="21"/>
  <c r="A275" i="9"/>
  <c r="C278" i="29"/>
  <c r="C278" i="21"/>
  <c r="C278" i="9"/>
  <c r="A279" i="29"/>
  <c r="A279" i="21"/>
  <c r="A279" i="9"/>
  <c r="C282" i="29"/>
  <c r="C282" i="21"/>
  <c r="C282" i="9"/>
  <c r="A283" i="29"/>
  <c r="A283" i="21"/>
  <c r="A283" i="9"/>
  <c r="C286" i="29"/>
  <c r="C286" i="9"/>
  <c r="C286" i="21"/>
  <c r="A287" i="29"/>
  <c r="A287" i="21"/>
  <c r="A287" i="9"/>
  <c r="C290" i="29"/>
  <c r="C290" i="21"/>
  <c r="C290" i="9"/>
  <c r="A291" i="29"/>
  <c r="A291" i="21"/>
  <c r="A291" i="9"/>
  <c r="A294" i="21"/>
  <c r="A294" i="9"/>
  <c r="A294" i="29"/>
  <c r="C297" i="29"/>
  <c r="C297" i="21"/>
  <c r="C297" i="9"/>
  <c r="A298" i="29"/>
  <c r="A298" i="21"/>
  <c r="A298" i="9"/>
  <c r="C301" i="29"/>
  <c r="C301" i="21"/>
  <c r="C301" i="9"/>
  <c r="F301" i="9" s="1"/>
  <c r="D8" i="2"/>
  <c r="C9" i="4"/>
  <c r="A10" i="2"/>
  <c r="A10" i="4"/>
  <c r="C13" i="4"/>
  <c r="A14" i="2"/>
  <c r="A14" i="4"/>
  <c r="C17" i="4"/>
  <c r="A18" i="2"/>
  <c r="A18" i="4"/>
  <c r="C21" i="4"/>
  <c r="A22" i="2"/>
  <c r="A22" i="4"/>
  <c r="C25" i="4"/>
  <c r="A26" i="2"/>
  <c r="A26" i="4"/>
  <c r="C29" i="4"/>
  <c r="A30" i="2"/>
  <c r="A30" i="4"/>
  <c r="C33" i="4"/>
  <c r="A34" i="2"/>
  <c r="A34" i="4"/>
  <c r="C35" i="4"/>
  <c r="A36" i="2"/>
  <c r="A36" i="4"/>
  <c r="C39" i="4"/>
  <c r="A40" i="2"/>
  <c r="A40" i="4"/>
  <c r="C43" i="4"/>
  <c r="A44" i="2"/>
  <c r="A44" i="4"/>
  <c r="C47" i="4"/>
  <c r="A48" i="2"/>
  <c r="A48" i="4"/>
  <c r="C51" i="4"/>
  <c r="A52" i="2"/>
  <c r="A52" i="4"/>
  <c r="C55" i="4"/>
  <c r="A56" i="2"/>
  <c r="A56" i="4"/>
  <c r="C59" i="4"/>
  <c r="A60" i="2"/>
  <c r="A60" i="4"/>
  <c r="C63" i="4"/>
  <c r="A64" i="2"/>
  <c r="A64" i="4"/>
  <c r="C67" i="4"/>
  <c r="A68" i="2"/>
  <c r="A68" i="4"/>
  <c r="C71" i="4"/>
  <c r="A72" i="2"/>
  <c r="A72" i="4"/>
  <c r="C75" i="4"/>
  <c r="A76" i="2"/>
  <c r="A76" i="4"/>
  <c r="C79" i="4"/>
  <c r="A80" i="2"/>
  <c r="A80" i="4"/>
  <c r="C83" i="4"/>
  <c r="A84" i="2"/>
  <c r="A84" i="4"/>
  <c r="C87" i="4"/>
  <c r="A88" i="2"/>
  <c r="A88" i="4"/>
  <c r="C91" i="4"/>
  <c r="A92" i="2"/>
  <c r="A92" i="4"/>
  <c r="C95" i="4"/>
  <c r="A96" i="2"/>
  <c r="A96" i="4"/>
  <c r="C99" i="4"/>
  <c r="A100" i="2"/>
  <c r="A100" i="4"/>
  <c r="C103" i="4"/>
  <c r="A104" i="2"/>
  <c r="A104" i="4"/>
  <c r="C107" i="4"/>
  <c r="A108" i="2"/>
  <c r="A108" i="4"/>
  <c r="C111" i="4"/>
  <c r="A112" i="2"/>
  <c r="A112" i="4"/>
  <c r="C115" i="4"/>
  <c r="A116" i="2"/>
  <c r="A116" i="4"/>
  <c r="C119" i="4"/>
  <c r="A120" i="2"/>
  <c r="A120" i="4"/>
  <c r="C123" i="4"/>
  <c r="A124" i="2"/>
  <c r="A124" i="4"/>
  <c r="C127" i="4"/>
  <c r="A128" i="2"/>
  <c r="A128" i="4"/>
  <c r="C131" i="4"/>
  <c r="A132" i="2"/>
  <c r="A132" i="4"/>
  <c r="C135" i="4"/>
  <c r="A136" i="2"/>
  <c r="A136" i="4"/>
  <c r="C139" i="4"/>
  <c r="A140" i="2"/>
  <c r="A140" i="4"/>
  <c r="C143" i="4"/>
  <c r="A144" i="2"/>
  <c r="A144" i="4"/>
  <c r="C147" i="4"/>
  <c r="A148" i="2"/>
  <c r="A148" i="4"/>
  <c r="C151" i="4"/>
  <c r="A152" i="2"/>
  <c r="A152" i="4"/>
  <c r="C155" i="4"/>
  <c r="A156" i="2"/>
  <c r="A156" i="4"/>
  <c r="A159" i="2"/>
  <c r="A159" i="4"/>
  <c r="C162" i="4"/>
  <c r="A163" i="2"/>
  <c r="A163" i="4"/>
  <c r="C166" i="4"/>
  <c r="A167" i="2"/>
  <c r="A167" i="4"/>
  <c r="C170" i="4"/>
  <c r="A171" i="2"/>
  <c r="A171" i="4"/>
  <c r="C174" i="4"/>
  <c r="A175" i="2"/>
  <c r="A175" i="4"/>
  <c r="C178" i="4"/>
  <c r="A179" i="2"/>
  <c r="A179" i="4"/>
  <c r="C182" i="4"/>
  <c r="A183" i="2"/>
  <c r="A183" i="4"/>
  <c r="C186" i="4"/>
  <c r="A187" i="2"/>
  <c r="A187" i="4"/>
  <c r="C190" i="4"/>
  <c r="A191" i="2"/>
  <c r="A191" i="4"/>
  <c r="C194" i="4"/>
  <c r="A195" i="2"/>
  <c r="A195" i="4"/>
  <c r="C198" i="4"/>
  <c r="A199" i="2"/>
  <c r="A199" i="4"/>
  <c r="C202" i="4"/>
  <c r="A203" i="2"/>
  <c r="A203" i="4"/>
  <c r="C206" i="4"/>
  <c r="A207" i="2"/>
  <c r="A207" i="4"/>
  <c r="C210" i="4"/>
  <c r="A211" i="2"/>
  <c r="A211" i="4"/>
  <c r="C214" i="4"/>
  <c r="A215" i="2"/>
  <c r="A215" i="4"/>
  <c r="C218" i="4"/>
  <c r="A219" i="2"/>
  <c r="A219" i="4"/>
  <c r="C222" i="4"/>
  <c r="A223" i="2"/>
  <c r="A223" i="4"/>
  <c r="C226" i="4"/>
  <c r="A227" i="2"/>
  <c r="A227" i="4"/>
  <c r="C230" i="4"/>
  <c r="A231" i="2"/>
  <c r="A231" i="4"/>
  <c r="C234" i="4"/>
  <c r="A235" i="2"/>
  <c r="A235" i="4"/>
  <c r="C238" i="4"/>
  <c r="A239" i="2"/>
  <c r="A239" i="4"/>
  <c r="C242" i="4"/>
  <c r="A243" i="2"/>
  <c r="A243" i="4"/>
  <c r="C246" i="4"/>
  <c r="A247" i="2"/>
  <c r="A247" i="4"/>
  <c r="C250" i="4"/>
  <c r="A251" i="2"/>
  <c r="A251" i="4"/>
  <c r="C254" i="4"/>
  <c r="A255" i="2"/>
  <c r="A255" i="4"/>
  <c r="C258" i="4"/>
  <c r="A259" i="2"/>
  <c r="A259" i="4"/>
  <c r="C262" i="4"/>
  <c r="C264" i="4"/>
  <c r="A265" i="2"/>
  <c r="A265" i="4"/>
  <c r="C268" i="4"/>
  <c r="A269" i="2"/>
  <c r="A269" i="4"/>
  <c r="C272" i="4"/>
  <c r="A273" i="2"/>
  <c r="A273" i="4"/>
  <c r="C276" i="4"/>
  <c r="A277" i="2"/>
  <c r="A277" i="4"/>
  <c r="C280" i="4"/>
  <c r="A281" i="2"/>
  <c r="A281" i="4"/>
  <c r="C284" i="4"/>
  <c r="A285" i="2"/>
  <c r="A285" i="4"/>
  <c r="C288" i="4"/>
  <c r="A289" i="2"/>
  <c r="A289" i="4"/>
  <c r="C292" i="4"/>
  <c r="A293" i="2"/>
  <c r="A293" i="4"/>
  <c r="C295" i="4"/>
  <c r="A296" i="2"/>
  <c r="A296" i="4"/>
  <c r="C299" i="4"/>
  <c r="A300" i="2"/>
  <c r="A300" i="4"/>
  <c r="B10" i="2"/>
  <c r="B10" i="4"/>
  <c r="B14" i="2"/>
  <c r="B14" i="4"/>
  <c r="B18" i="2"/>
  <c r="B18" i="4"/>
  <c r="B22" i="2"/>
  <c r="B22" i="4"/>
  <c r="B26" i="2"/>
  <c r="B26" i="4"/>
  <c r="B30" i="2"/>
  <c r="B30" i="4"/>
  <c r="B34" i="2"/>
  <c r="B34" i="4"/>
  <c r="B36" i="2"/>
  <c r="B36" i="4"/>
  <c r="B40" i="2"/>
  <c r="B40" i="4"/>
  <c r="B44" i="2"/>
  <c r="B44" i="4"/>
  <c r="B48" i="2"/>
  <c r="B48" i="4"/>
  <c r="B52" i="2"/>
  <c r="B52" i="4"/>
  <c r="B56" i="2"/>
  <c r="B56" i="4"/>
  <c r="B60" i="2"/>
  <c r="B60" i="4"/>
  <c r="B64" i="2"/>
  <c r="B64" i="4"/>
  <c r="B68" i="2"/>
  <c r="B68" i="4"/>
  <c r="B72" i="2"/>
  <c r="B72" i="4"/>
  <c r="B76" i="2"/>
  <c r="B76" i="4"/>
  <c r="B80" i="2"/>
  <c r="B80" i="4"/>
  <c r="B84" i="2"/>
  <c r="B84" i="4"/>
  <c r="B88" i="2"/>
  <c r="B88" i="4"/>
  <c r="B92" i="2"/>
  <c r="B92" i="4"/>
  <c r="B96" i="2"/>
  <c r="B96" i="4"/>
  <c r="B100" i="2"/>
  <c r="B100" i="4"/>
  <c r="B104" i="2"/>
  <c r="B104" i="4"/>
  <c r="B108" i="2"/>
  <c r="B108" i="4"/>
  <c r="B112" i="2"/>
  <c r="B112" i="4"/>
  <c r="B116" i="2"/>
  <c r="B116" i="4"/>
  <c r="B120" i="2"/>
  <c r="B120" i="4"/>
  <c r="B124" i="2"/>
  <c r="B124" i="4"/>
  <c r="B128" i="2"/>
  <c r="B128" i="4"/>
  <c r="B132" i="2"/>
  <c r="B132" i="4"/>
  <c r="B136" i="2"/>
  <c r="B136" i="4"/>
  <c r="B140" i="2"/>
  <c r="B140" i="4"/>
  <c r="B144" i="2"/>
  <c r="B144" i="4"/>
  <c r="B148" i="2"/>
  <c r="B148" i="4"/>
  <c r="B152" i="2"/>
  <c r="B152" i="4"/>
  <c r="B156" i="2"/>
  <c r="B156" i="4"/>
  <c r="B159" i="2"/>
  <c r="B159" i="4"/>
  <c r="B163" i="2"/>
  <c r="B163" i="4"/>
  <c r="B167" i="2"/>
  <c r="B167" i="4"/>
  <c r="B171" i="2"/>
  <c r="B171" i="4"/>
  <c r="B175" i="2"/>
  <c r="B175" i="4"/>
  <c r="B179" i="2"/>
  <c r="B179" i="4"/>
  <c r="B183" i="2"/>
  <c r="B183" i="4"/>
  <c r="B187" i="2"/>
  <c r="B187" i="4"/>
  <c r="B191" i="2"/>
  <c r="B191" i="4"/>
  <c r="B195" i="2"/>
  <c r="B195" i="4"/>
  <c r="B199" i="2"/>
  <c r="B199" i="4"/>
  <c r="B203" i="2"/>
  <c r="B203" i="4"/>
  <c r="B207" i="2"/>
  <c r="B207" i="4"/>
  <c r="B211" i="2"/>
  <c r="B211" i="4"/>
  <c r="B215" i="2"/>
  <c r="B215" i="4"/>
  <c r="B219" i="2"/>
  <c r="B219" i="4"/>
  <c r="B223" i="2"/>
  <c r="B223" i="4"/>
  <c r="B227" i="2"/>
  <c r="B227" i="4"/>
  <c r="B231" i="2"/>
  <c r="B231" i="4"/>
  <c r="B235" i="2"/>
  <c r="B235" i="4"/>
  <c r="B239" i="2"/>
  <c r="B239" i="4"/>
  <c r="B243" i="2"/>
  <c r="B243" i="4"/>
  <c r="B247" i="2"/>
  <c r="B247" i="4"/>
  <c r="B251" i="2"/>
  <c r="B251" i="4"/>
  <c r="B255" i="2"/>
  <c r="B255" i="4"/>
  <c r="B259" i="2"/>
  <c r="B259" i="4"/>
  <c r="B265" i="2"/>
  <c r="B265" i="4"/>
  <c r="B269" i="2"/>
  <c r="B269" i="4"/>
  <c r="B273" i="2"/>
  <c r="B273" i="4"/>
  <c r="B277" i="2"/>
  <c r="B277" i="4"/>
  <c r="B281" i="2"/>
  <c r="B281" i="4"/>
  <c r="B285" i="2"/>
  <c r="B285" i="4"/>
  <c r="B289" i="2"/>
  <c r="B289" i="4"/>
  <c r="B293" i="2"/>
  <c r="B293" i="4"/>
  <c r="B296" i="2"/>
  <c r="B296" i="4"/>
  <c r="B300" i="2"/>
  <c r="B300" i="4"/>
  <c r="C10" i="4"/>
  <c r="A11" i="2"/>
  <c r="A11" i="4"/>
  <c r="C14" i="4"/>
  <c r="A15" i="2"/>
  <c r="A15" i="4"/>
  <c r="C18" i="4"/>
  <c r="A19" i="2"/>
  <c r="A19" i="4"/>
  <c r="C22" i="4"/>
  <c r="A23" i="2"/>
  <c r="A23" i="4"/>
  <c r="C26" i="4"/>
  <c r="A27" i="2"/>
  <c r="A27" i="4"/>
  <c r="C30" i="4"/>
  <c r="A31" i="2"/>
  <c r="A31" i="4"/>
  <c r="C34" i="4"/>
  <c r="C36" i="4"/>
  <c r="A37" i="2"/>
  <c r="A37" i="4"/>
  <c r="C40" i="4"/>
  <c r="A41" i="2"/>
  <c r="A41" i="4"/>
  <c r="C44" i="4"/>
  <c r="A45" i="2"/>
  <c r="A45" i="4"/>
  <c r="C48" i="4"/>
  <c r="A49" i="2"/>
  <c r="A49" i="4"/>
  <c r="C52" i="4"/>
  <c r="A53" i="2"/>
  <c r="A53" i="4"/>
  <c r="C56" i="4"/>
  <c r="A57" i="2"/>
  <c r="A57" i="4"/>
  <c r="C60" i="4"/>
  <c r="A61" i="2"/>
  <c r="A61" i="4"/>
  <c r="C64" i="4"/>
  <c r="A65" i="2"/>
  <c r="A65" i="4"/>
  <c r="C68" i="4"/>
  <c r="A69" i="2"/>
  <c r="A69" i="4"/>
  <c r="C72" i="4"/>
  <c r="A73" i="2"/>
  <c r="A73" i="4"/>
  <c r="C76" i="4"/>
  <c r="A77" i="2"/>
  <c r="A77" i="4"/>
  <c r="C80" i="4"/>
  <c r="A81" i="2"/>
  <c r="A81" i="4"/>
  <c r="C84" i="4"/>
  <c r="A85" i="2"/>
  <c r="A85" i="4"/>
  <c r="C88" i="4"/>
  <c r="A89" i="2"/>
  <c r="A89" i="4"/>
  <c r="C92" i="4"/>
  <c r="A93" i="2"/>
  <c r="A93" i="4"/>
  <c r="C96" i="4"/>
  <c r="A97" i="2"/>
  <c r="A97" i="4"/>
  <c r="C100" i="4"/>
  <c r="A101" i="2"/>
  <c r="A101" i="4"/>
  <c r="C104" i="4"/>
  <c r="A105" i="2"/>
  <c r="A105" i="4"/>
  <c r="C108" i="4"/>
  <c r="A109" i="2"/>
  <c r="A109" i="4"/>
  <c r="C112" i="4"/>
  <c r="A113" i="2"/>
  <c r="A113" i="4"/>
  <c r="C116" i="4"/>
  <c r="A117" i="2"/>
  <c r="A117" i="4"/>
  <c r="C120" i="4"/>
  <c r="A121" i="2"/>
  <c r="A121" i="4"/>
  <c r="C124" i="4"/>
  <c r="A125" i="2"/>
  <c r="A125" i="4"/>
  <c r="C128" i="4"/>
  <c r="A129" i="2"/>
  <c r="A129" i="4"/>
  <c r="C132" i="4"/>
  <c r="A133" i="2"/>
  <c r="A133" i="4"/>
  <c r="C136" i="4"/>
  <c r="A137" i="2"/>
  <c r="A137" i="4"/>
  <c r="C140" i="4"/>
  <c r="A141" i="2"/>
  <c r="A141" i="4"/>
  <c r="C144" i="4"/>
  <c r="A145" i="2"/>
  <c r="A145" i="4"/>
  <c r="C148" i="4"/>
  <c r="A149" i="2"/>
  <c r="A149" i="4"/>
  <c r="C152" i="4"/>
  <c r="A153" i="2"/>
  <c r="A153" i="4"/>
  <c r="C156" i="4"/>
  <c r="A157" i="2"/>
  <c r="A157" i="4"/>
  <c r="C159" i="4"/>
  <c r="A160" i="2"/>
  <c r="A160" i="4"/>
  <c r="C163" i="4"/>
  <c r="A164" i="2"/>
  <c r="A164" i="4"/>
  <c r="C167" i="4"/>
  <c r="A168" i="2"/>
  <c r="A168" i="4"/>
  <c r="C171" i="4"/>
  <c r="A172" i="2"/>
  <c r="A172" i="4"/>
  <c r="C175" i="4"/>
  <c r="A176" i="2"/>
  <c r="A176" i="4"/>
  <c r="C179" i="4"/>
  <c r="A180" i="2"/>
  <c r="A180" i="4"/>
  <c r="C183" i="4"/>
  <c r="A184" i="2"/>
  <c r="A184" i="4"/>
  <c r="C187" i="4"/>
  <c r="A188" i="2"/>
  <c r="A188" i="4"/>
  <c r="C191" i="4"/>
  <c r="A192" i="2"/>
  <c r="A192" i="4"/>
  <c r="C195" i="4"/>
  <c r="A196" i="2"/>
  <c r="A196" i="4"/>
  <c r="C199" i="4"/>
  <c r="A200" i="2"/>
  <c r="A200" i="4"/>
  <c r="C203" i="4"/>
  <c r="A204" i="2"/>
  <c r="A204" i="4"/>
  <c r="C207" i="4"/>
  <c r="A208" i="2"/>
  <c r="A208" i="4"/>
  <c r="C211" i="4"/>
  <c r="A212" i="2"/>
  <c r="A212" i="4"/>
  <c r="C215" i="4"/>
  <c r="A216" i="2"/>
  <c r="A216" i="4"/>
  <c r="C219" i="4"/>
  <c r="A220" i="2"/>
  <c r="A220" i="4"/>
  <c r="C223" i="4"/>
  <c r="A224" i="2"/>
  <c r="A224" i="4"/>
  <c r="C227" i="4"/>
  <c r="A228" i="2"/>
  <c r="A228" i="4"/>
  <c r="C231" i="4"/>
  <c r="A232" i="2"/>
  <c r="A232" i="4"/>
  <c r="C235" i="4"/>
  <c r="A236" i="2"/>
  <c r="A236" i="4"/>
  <c r="C239" i="4"/>
  <c r="A240" i="2"/>
  <c r="A240" i="4"/>
  <c r="C243" i="4"/>
  <c r="A244" i="2"/>
  <c r="A244" i="4"/>
  <c r="C247" i="4"/>
  <c r="A248" i="2"/>
  <c r="A248" i="4"/>
  <c r="C251" i="4"/>
  <c r="A252" i="2"/>
  <c r="A252" i="4"/>
  <c r="C255" i="4"/>
  <c r="A256" i="2"/>
  <c r="A256" i="4"/>
  <c r="C259" i="4"/>
  <c r="A260" i="2"/>
  <c r="A260" i="4"/>
  <c r="C265" i="4"/>
  <c r="A266" i="2"/>
  <c r="A266" i="4"/>
  <c r="C269" i="4"/>
  <c r="A270" i="2"/>
  <c r="A270" i="4"/>
  <c r="C273" i="4"/>
  <c r="A274" i="2"/>
  <c r="A274" i="4"/>
  <c r="C277" i="4"/>
  <c r="A278" i="2"/>
  <c r="A278" i="4"/>
  <c r="C281" i="4"/>
  <c r="A282" i="2"/>
  <c r="A282" i="4"/>
  <c r="C285" i="4"/>
  <c r="A286" i="2"/>
  <c r="A286" i="4"/>
  <c r="C289" i="4"/>
  <c r="A290" i="2"/>
  <c r="A290" i="4"/>
  <c r="C293" i="4"/>
  <c r="C296" i="4"/>
  <c r="A297" i="2"/>
  <c r="A297" i="4"/>
  <c r="C300" i="4"/>
  <c r="A301" i="2"/>
  <c r="A301" i="4"/>
  <c r="U302" i="53"/>
  <c r="P8" i="3"/>
  <c r="R8" i="3" s="1"/>
  <c r="B11" i="2"/>
  <c r="B11" i="4"/>
  <c r="B15" i="2"/>
  <c r="B15" i="4"/>
  <c r="B19" i="2"/>
  <c r="B19" i="4"/>
  <c r="B23" i="2"/>
  <c r="B23" i="4"/>
  <c r="B27" i="2"/>
  <c r="B27" i="4"/>
  <c r="B31" i="2"/>
  <c r="B31" i="4"/>
  <c r="B37" i="2"/>
  <c r="B37" i="4"/>
  <c r="B41" i="2"/>
  <c r="B41" i="4"/>
  <c r="B45" i="2"/>
  <c r="B45" i="4"/>
  <c r="B49" i="2"/>
  <c r="B49" i="4"/>
  <c r="B53" i="2"/>
  <c r="B53" i="4"/>
  <c r="B57" i="2"/>
  <c r="B57" i="4"/>
  <c r="B61" i="2"/>
  <c r="B61" i="4"/>
  <c r="B65" i="2"/>
  <c r="B65" i="4"/>
  <c r="B69" i="2"/>
  <c r="B69" i="4"/>
  <c r="B73" i="2"/>
  <c r="B73" i="4"/>
  <c r="B77" i="2"/>
  <c r="B77" i="4"/>
  <c r="B81" i="2"/>
  <c r="B81" i="4"/>
  <c r="B85" i="2"/>
  <c r="B85" i="4"/>
  <c r="B89" i="2"/>
  <c r="B89" i="4"/>
  <c r="B93" i="2"/>
  <c r="B93" i="4"/>
  <c r="B97" i="2"/>
  <c r="B97" i="4"/>
  <c r="B101" i="2"/>
  <c r="B101" i="4"/>
  <c r="B105" i="2"/>
  <c r="B105" i="4"/>
  <c r="B109" i="2"/>
  <c r="B109" i="4"/>
  <c r="B113" i="2"/>
  <c r="B113" i="4"/>
  <c r="B117" i="2"/>
  <c r="B117" i="4"/>
  <c r="B121" i="2"/>
  <c r="B121" i="4"/>
  <c r="B125" i="2"/>
  <c r="B125" i="4"/>
  <c r="B129" i="2"/>
  <c r="B129" i="4"/>
  <c r="B133" i="2"/>
  <c r="B133" i="4"/>
  <c r="B137" i="2"/>
  <c r="B137" i="4"/>
  <c r="B141" i="2"/>
  <c r="B141" i="4"/>
  <c r="B145" i="2"/>
  <c r="B145" i="4"/>
  <c r="B149" i="2"/>
  <c r="B149" i="4"/>
  <c r="B153" i="2"/>
  <c r="B153" i="4"/>
  <c r="B157" i="2"/>
  <c r="B157" i="4"/>
  <c r="B160" i="2"/>
  <c r="B160" i="4"/>
  <c r="B164" i="2"/>
  <c r="B164" i="4"/>
  <c r="B168" i="2"/>
  <c r="B168" i="4"/>
  <c r="B172" i="2"/>
  <c r="B172" i="4"/>
  <c r="B176" i="2"/>
  <c r="B176" i="4"/>
  <c r="B180" i="2"/>
  <c r="B180" i="4"/>
  <c r="B184" i="2"/>
  <c r="B184" i="4"/>
  <c r="B188" i="2"/>
  <c r="B188" i="4"/>
  <c r="B192" i="2"/>
  <c r="B192" i="4"/>
  <c r="B196" i="2"/>
  <c r="B196" i="4"/>
  <c r="B200" i="2"/>
  <c r="B200" i="4"/>
  <c r="B204" i="2"/>
  <c r="B204" i="4"/>
  <c r="B208" i="2"/>
  <c r="B208" i="4"/>
  <c r="B212" i="2"/>
  <c r="B212" i="4"/>
  <c r="B216" i="2"/>
  <c r="B216" i="4"/>
  <c r="B220" i="2"/>
  <c r="B220" i="4"/>
  <c r="B224" i="2"/>
  <c r="B224" i="4"/>
  <c r="B228" i="2"/>
  <c r="B228" i="4"/>
  <c r="B232" i="2"/>
  <c r="B232" i="4"/>
  <c r="B236" i="2"/>
  <c r="B236" i="4"/>
  <c r="B240" i="2"/>
  <c r="B240" i="4"/>
  <c r="B244" i="2"/>
  <c r="B244" i="4"/>
  <c r="B248" i="2"/>
  <c r="B248" i="4"/>
  <c r="B252" i="2"/>
  <c r="B252" i="4"/>
  <c r="B256" i="2"/>
  <c r="B256" i="4"/>
  <c r="B260" i="2"/>
  <c r="B260" i="4"/>
  <c r="B266" i="2"/>
  <c r="B266" i="4"/>
  <c r="B270" i="2"/>
  <c r="B270" i="4"/>
  <c r="B274" i="2"/>
  <c r="B274" i="4"/>
  <c r="B278" i="2"/>
  <c r="B278" i="4"/>
  <c r="B282" i="2"/>
  <c r="B282" i="4"/>
  <c r="B286" i="2"/>
  <c r="B286" i="4"/>
  <c r="B290" i="2"/>
  <c r="B290" i="4"/>
  <c r="B297" i="2"/>
  <c r="B297" i="4"/>
  <c r="B301" i="2"/>
  <c r="B301" i="4"/>
  <c r="C11" i="4"/>
  <c r="A12" i="2"/>
  <c r="A12" i="4"/>
  <c r="C15" i="4"/>
  <c r="A16" i="2"/>
  <c r="A16" i="4"/>
  <c r="C19" i="4"/>
  <c r="A20" i="2"/>
  <c r="A20" i="4"/>
  <c r="C23" i="4"/>
  <c r="A24" i="2"/>
  <c r="A24" i="4"/>
  <c r="C27" i="4"/>
  <c r="A28" i="2"/>
  <c r="A28" i="4"/>
  <c r="C31" i="4"/>
  <c r="A32" i="2"/>
  <c r="A32" i="4"/>
  <c r="C37" i="4"/>
  <c r="A38" i="2"/>
  <c r="A38" i="4"/>
  <c r="C41" i="4"/>
  <c r="A42" i="2"/>
  <c r="A42" i="4"/>
  <c r="C45" i="4"/>
  <c r="A46" i="2"/>
  <c r="A46" i="4"/>
  <c r="C49" i="4"/>
  <c r="A50" i="2"/>
  <c r="A50" i="4"/>
  <c r="C53" i="4"/>
  <c r="A54" i="2"/>
  <c r="A54" i="4"/>
  <c r="C57" i="4"/>
  <c r="A58" i="2"/>
  <c r="A58" i="4"/>
  <c r="C61" i="4"/>
  <c r="A62" i="2"/>
  <c r="A62" i="4"/>
  <c r="C65" i="4"/>
  <c r="A66" i="2"/>
  <c r="A66" i="4"/>
  <c r="C69" i="4"/>
  <c r="A70" i="2"/>
  <c r="A70" i="4"/>
  <c r="C73" i="4"/>
  <c r="A74" i="2"/>
  <c r="A74" i="4"/>
  <c r="C77" i="4"/>
  <c r="A78" i="2"/>
  <c r="A78" i="4"/>
  <c r="C81" i="4"/>
  <c r="A82" i="2"/>
  <c r="A82" i="4"/>
  <c r="C85" i="4"/>
  <c r="A86" i="2"/>
  <c r="A86" i="4"/>
  <c r="C89" i="4"/>
  <c r="A90" i="2"/>
  <c r="A90" i="4"/>
  <c r="C93" i="4"/>
  <c r="A94" i="2"/>
  <c r="A94" i="4"/>
  <c r="C97" i="4"/>
  <c r="A98" i="2"/>
  <c r="A98" i="4"/>
  <c r="C101" i="4"/>
  <c r="A102" i="2"/>
  <c r="A102" i="4"/>
  <c r="C105" i="4"/>
  <c r="A106" i="2"/>
  <c r="A106" i="4"/>
  <c r="C109" i="4"/>
  <c r="A110" i="2"/>
  <c r="A110" i="4"/>
  <c r="C113" i="4"/>
  <c r="A114" i="2"/>
  <c r="A114" i="4"/>
  <c r="C117" i="4"/>
  <c r="A118" i="2"/>
  <c r="A118" i="4"/>
  <c r="C121" i="4"/>
  <c r="A122" i="2"/>
  <c r="A122" i="4"/>
  <c r="C125" i="4"/>
  <c r="A126" i="2"/>
  <c r="A126" i="4"/>
  <c r="C129" i="4"/>
  <c r="A130" i="2"/>
  <c r="A130" i="4"/>
  <c r="C133" i="4"/>
  <c r="A134" i="2"/>
  <c r="A134" i="4"/>
  <c r="C137" i="4"/>
  <c r="A138" i="2"/>
  <c r="A138" i="4"/>
  <c r="C141" i="4"/>
  <c r="A142" i="2"/>
  <c r="A142" i="4"/>
  <c r="C145" i="4"/>
  <c r="A146" i="2"/>
  <c r="A146" i="4"/>
  <c r="C149" i="4"/>
  <c r="A150" i="2"/>
  <c r="A150" i="4"/>
  <c r="C153" i="4"/>
  <c r="A154" i="2"/>
  <c r="A154" i="4"/>
  <c r="C157" i="4"/>
  <c r="A158" i="2"/>
  <c r="A158" i="4"/>
  <c r="C160" i="4"/>
  <c r="A161" i="2"/>
  <c r="A161" i="4"/>
  <c r="C164" i="4"/>
  <c r="A165" i="2"/>
  <c r="A165" i="4"/>
  <c r="C168" i="4"/>
  <c r="A169" i="2"/>
  <c r="A169" i="4"/>
  <c r="C172" i="4"/>
  <c r="A173" i="2"/>
  <c r="A173" i="4"/>
  <c r="C176" i="4"/>
  <c r="A177" i="2"/>
  <c r="A177" i="4"/>
  <c r="C180" i="4"/>
  <c r="A181" i="2"/>
  <c r="A181" i="4"/>
  <c r="C184" i="4"/>
  <c r="A185" i="2"/>
  <c r="A185" i="4"/>
  <c r="C188" i="4"/>
  <c r="A189" i="2"/>
  <c r="A189" i="4"/>
  <c r="C192" i="4"/>
  <c r="A193" i="2"/>
  <c r="A193" i="4"/>
  <c r="C196" i="4"/>
  <c r="A197" i="2"/>
  <c r="A197" i="4"/>
  <c r="C200" i="4"/>
  <c r="A201" i="2"/>
  <c r="A201" i="4"/>
  <c r="C204" i="4"/>
  <c r="A205" i="2"/>
  <c r="A205" i="4"/>
  <c r="C208" i="4"/>
  <c r="A209" i="2"/>
  <c r="A209" i="4"/>
  <c r="C212" i="4"/>
  <c r="A213" i="2"/>
  <c r="A213" i="4"/>
  <c r="C216" i="4"/>
  <c r="A217" i="2"/>
  <c r="A217" i="4"/>
  <c r="C220" i="4"/>
  <c r="A221" i="2"/>
  <c r="A221" i="4"/>
  <c r="C224" i="4"/>
  <c r="A225" i="2"/>
  <c r="A225" i="4"/>
  <c r="C228" i="4"/>
  <c r="A229" i="2"/>
  <c r="A229" i="4"/>
  <c r="C232" i="4"/>
  <c r="A233" i="2"/>
  <c r="A233" i="4"/>
  <c r="C236" i="4"/>
  <c r="A237" i="2"/>
  <c r="A237" i="4"/>
  <c r="C240" i="4"/>
  <c r="A241" i="2"/>
  <c r="A241" i="4"/>
  <c r="C244" i="4"/>
  <c r="A245" i="2"/>
  <c r="A245" i="4"/>
  <c r="C248" i="4"/>
  <c r="A249" i="2"/>
  <c r="A249" i="4"/>
  <c r="C252" i="4"/>
  <c r="A253" i="2"/>
  <c r="A253" i="4"/>
  <c r="C256" i="4"/>
  <c r="A257" i="2"/>
  <c r="A257" i="4"/>
  <c r="C260" i="4"/>
  <c r="A261" i="2"/>
  <c r="A261" i="4"/>
  <c r="A263" i="4"/>
  <c r="C266" i="4"/>
  <c r="A267" i="2"/>
  <c r="A267" i="4"/>
  <c r="C270" i="4"/>
  <c r="A271" i="2"/>
  <c r="A271" i="4"/>
  <c r="C274" i="4"/>
  <c r="A275" i="2"/>
  <c r="A275" i="4"/>
  <c r="C278" i="4"/>
  <c r="A279" i="2"/>
  <c r="A279" i="4"/>
  <c r="C282" i="4"/>
  <c r="A283" i="2"/>
  <c r="A283" i="4"/>
  <c r="C286" i="4"/>
  <c r="A287" i="2"/>
  <c r="A287" i="4"/>
  <c r="C290" i="4"/>
  <c r="A291" i="2"/>
  <c r="A291" i="4"/>
  <c r="A294" i="2"/>
  <c r="A294" i="4"/>
  <c r="C297" i="4"/>
  <c r="A298" i="2"/>
  <c r="A298" i="4"/>
  <c r="C301" i="4"/>
  <c r="A8" i="2"/>
  <c r="A8" i="4"/>
  <c r="A8" i="3"/>
  <c r="B12" i="2"/>
  <c r="B12" i="4"/>
  <c r="B16" i="2"/>
  <c r="B16" i="4"/>
  <c r="B20" i="2"/>
  <c r="B20" i="4"/>
  <c r="B24" i="2"/>
  <c r="B24" i="4"/>
  <c r="B28" i="2"/>
  <c r="B28" i="4"/>
  <c r="B32" i="2"/>
  <c r="B32" i="4"/>
  <c r="B38" i="2"/>
  <c r="B38" i="4"/>
  <c r="B42" i="2"/>
  <c r="B42" i="4"/>
  <c r="B46" i="2"/>
  <c r="B46" i="4"/>
  <c r="B50" i="2"/>
  <c r="B50" i="4"/>
  <c r="B54" i="2"/>
  <c r="B54" i="4"/>
  <c r="B58" i="2"/>
  <c r="B58" i="4"/>
  <c r="B62" i="2"/>
  <c r="B62" i="4"/>
  <c r="B66" i="2"/>
  <c r="B66" i="4"/>
  <c r="B70" i="2"/>
  <c r="B70" i="4"/>
  <c r="B74" i="2"/>
  <c r="B74" i="4"/>
  <c r="B78" i="2"/>
  <c r="B78" i="4"/>
  <c r="B82" i="2"/>
  <c r="B82" i="4"/>
  <c r="B86" i="2"/>
  <c r="B86" i="4"/>
  <c r="B90" i="2"/>
  <c r="B90" i="4"/>
  <c r="B94" i="2"/>
  <c r="B94" i="4"/>
  <c r="B98" i="2"/>
  <c r="B98" i="4"/>
  <c r="B102" i="2"/>
  <c r="B102" i="4"/>
  <c r="B106" i="2"/>
  <c r="B106" i="4"/>
  <c r="B110" i="2"/>
  <c r="B110" i="4"/>
  <c r="B114" i="2"/>
  <c r="B114" i="4"/>
  <c r="B118" i="2"/>
  <c r="B118" i="4"/>
  <c r="B122" i="2"/>
  <c r="B122" i="4"/>
  <c r="B126" i="2"/>
  <c r="B126" i="4"/>
  <c r="B130" i="2"/>
  <c r="B130" i="4"/>
  <c r="B134" i="2"/>
  <c r="B134" i="4"/>
  <c r="B138" i="2"/>
  <c r="B138" i="4"/>
  <c r="B142" i="2"/>
  <c r="B142" i="4"/>
  <c r="B146" i="2"/>
  <c r="B146" i="4"/>
  <c r="B150" i="2"/>
  <c r="B150" i="4"/>
  <c r="B154" i="2"/>
  <c r="B154" i="4"/>
  <c r="B158" i="2"/>
  <c r="B158" i="4"/>
  <c r="B161" i="2"/>
  <c r="B161" i="4"/>
  <c r="B165" i="2"/>
  <c r="B165" i="4"/>
  <c r="B169" i="2"/>
  <c r="B169" i="4"/>
  <c r="B173" i="2"/>
  <c r="B173" i="4"/>
  <c r="B177" i="2"/>
  <c r="B177" i="4"/>
  <c r="B181" i="2"/>
  <c r="B181" i="4"/>
  <c r="B185" i="2"/>
  <c r="B185" i="4"/>
  <c r="B189" i="2"/>
  <c r="B189" i="4"/>
  <c r="B193" i="2"/>
  <c r="B193" i="4"/>
  <c r="B197" i="2"/>
  <c r="B197" i="4"/>
  <c r="B201" i="2"/>
  <c r="B201" i="4"/>
  <c r="B205" i="2"/>
  <c r="B205" i="4"/>
  <c r="B209" i="2"/>
  <c r="B209" i="4"/>
  <c r="B213" i="2"/>
  <c r="B213" i="4"/>
  <c r="B217" i="2"/>
  <c r="B217" i="4"/>
  <c r="B221" i="2"/>
  <c r="B221" i="4"/>
  <c r="B225" i="2"/>
  <c r="B225" i="4"/>
  <c r="B229" i="2"/>
  <c r="B229" i="4"/>
  <c r="B233" i="2"/>
  <c r="B233" i="4"/>
  <c r="B237" i="2"/>
  <c r="B237" i="4"/>
  <c r="B241" i="2"/>
  <c r="B241" i="4"/>
  <c r="B245" i="2"/>
  <c r="B245" i="4"/>
  <c r="B249" i="2"/>
  <c r="B249" i="4"/>
  <c r="B253" i="2"/>
  <c r="B253" i="4"/>
  <c r="B257" i="2"/>
  <c r="B257" i="4"/>
  <c r="B261" i="2"/>
  <c r="B261" i="4"/>
  <c r="B263" i="4"/>
  <c r="B267" i="2"/>
  <c r="B267" i="4"/>
  <c r="B271" i="2"/>
  <c r="B271" i="4"/>
  <c r="B275" i="2"/>
  <c r="B275" i="4"/>
  <c r="B279" i="2"/>
  <c r="B279" i="4"/>
  <c r="B283" i="2"/>
  <c r="B283" i="4"/>
  <c r="B287" i="2"/>
  <c r="B287" i="4"/>
  <c r="B291" i="2"/>
  <c r="B291" i="4"/>
  <c r="B294" i="2"/>
  <c r="B294" i="4"/>
  <c r="B298" i="2"/>
  <c r="B298" i="4"/>
  <c r="B8" i="2"/>
  <c r="B8" i="4"/>
  <c r="B8" i="3"/>
  <c r="A9" i="2"/>
  <c r="A9" i="4"/>
  <c r="C12" i="4"/>
  <c r="A13" i="2"/>
  <c r="A13" i="4"/>
  <c r="C16" i="4"/>
  <c r="A17" i="2"/>
  <c r="A17" i="4"/>
  <c r="C20" i="4"/>
  <c r="A21" i="2"/>
  <c r="A21" i="4"/>
  <c r="C24" i="4"/>
  <c r="A25" i="2"/>
  <c r="A25" i="4"/>
  <c r="C28" i="4"/>
  <c r="A29" i="2"/>
  <c r="A29" i="4"/>
  <c r="C32" i="4"/>
  <c r="A33" i="2"/>
  <c r="A33" i="4"/>
  <c r="A35" i="2"/>
  <c r="A35" i="4"/>
  <c r="C38" i="4"/>
  <c r="A39" i="2"/>
  <c r="A39" i="4"/>
  <c r="C42" i="4"/>
  <c r="A43" i="2"/>
  <c r="A43" i="4"/>
  <c r="C46" i="4"/>
  <c r="A47" i="2"/>
  <c r="A47" i="4"/>
  <c r="C50" i="4"/>
  <c r="A51" i="2"/>
  <c r="A51" i="4"/>
  <c r="C54" i="4"/>
  <c r="A55" i="2"/>
  <c r="A55" i="4"/>
  <c r="C58" i="4"/>
  <c r="A59" i="2"/>
  <c r="A59" i="4"/>
  <c r="C62" i="4"/>
  <c r="A63" i="2"/>
  <c r="A63" i="4"/>
  <c r="C66" i="4"/>
  <c r="A67" i="2"/>
  <c r="A67" i="4"/>
  <c r="C70" i="4"/>
  <c r="A71" i="2"/>
  <c r="A71" i="4"/>
  <c r="C74" i="4"/>
  <c r="A75" i="2"/>
  <c r="A75" i="4"/>
  <c r="C78" i="4"/>
  <c r="A79" i="2"/>
  <c r="A79" i="4"/>
  <c r="C82" i="4"/>
  <c r="A83" i="2"/>
  <c r="A83" i="4"/>
  <c r="C86" i="4"/>
  <c r="A87" i="2"/>
  <c r="A87" i="4"/>
  <c r="C90" i="4"/>
  <c r="A91" i="2"/>
  <c r="A91" i="4"/>
  <c r="C94" i="4"/>
  <c r="A95" i="2"/>
  <c r="A95" i="4"/>
  <c r="C98" i="4"/>
  <c r="A99" i="2"/>
  <c r="A99" i="4"/>
  <c r="C102" i="4"/>
  <c r="A103" i="2"/>
  <c r="A103" i="4"/>
  <c r="C106" i="4"/>
  <c r="A107" i="2"/>
  <c r="A107" i="4"/>
  <c r="C110" i="4"/>
  <c r="A111" i="2"/>
  <c r="A111" i="4"/>
  <c r="C114" i="4"/>
  <c r="A115" i="2"/>
  <c r="A115" i="4"/>
  <c r="C118" i="4"/>
  <c r="A119" i="2"/>
  <c r="A119" i="4"/>
  <c r="C122" i="4"/>
  <c r="A123" i="2"/>
  <c r="A123" i="4"/>
  <c r="C126" i="4"/>
  <c r="A127" i="2"/>
  <c r="A127" i="4"/>
  <c r="C130" i="4"/>
  <c r="A131" i="2"/>
  <c r="A131" i="4"/>
  <c r="C134" i="4"/>
  <c r="A135" i="2"/>
  <c r="A135" i="4"/>
  <c r="C138" i="4"/>
  <c r="A139" i="2"/>
  <c r="A139" i="4"/>
  <c r="C142" i="4"/>
  <c r="A143" i="2"/>
  <c r="A143" i="4"/>
  <c r="C146" i="4"/>
  <c r="A147" i="2"/>
  <c r="A147" i="4"/>
  <c r="C150" i="4"/>
  <c r="A151" i="2"/>
  <c r="A151" i="4"/>
  <c r="C154" i="4"/>
  <c r="A155" i="2"/>
  <c r="A155" i="4"/>
  <c r="C158" i="4"/>
  <c r="C161" i="4"/>
  <c r="A162" i="2"/>
  <c r="A162" i="4"/>
  <c r="C165" i="4"/>
  <c r="A166" i="2"/>
  <c r="A166" i="4"/>
  <c r="C169" i="4"/>
  <c r="A170" i="2"/>
  <c r="A170" i="4"/>
  <c r="C173" i="4"/>
  <c r="A174" i="2"/>
  <c r="A174" i="4"/>
  <c r="C177" i="4"/>
  <c r="A178" i="2"/>
  <c r="A178" i="4"/>
  <c r="C181" i="4"/>
  <c r="A182" i="2"/>
  <c r="A182" i="4"/>
  <c r="C185" i="4"/>
  <c r="A186" i="2"/>
  <c r="A186" i="4"/>
  <c r="C189" i="4"/>
  <c r="A190" i="2"/>
  <c r="A190" i="4"/>
  <c r="C193" i="4"/>
  <c r="A194" i="2"/>
  <c r="A194" i="4"/>
  <c r="C197" i="4"/>
  <c r="A198" i="2"/>
  <c r="A198" i="4"/>
  <c r="C201" i="4"/>
  <c r="A202" i="2"/>
  <c r="A202" i="4"/>
  <c r="C205" i="4"/>
  <c r="A206" i="2"/>
  <c r="A206" i="4"/>
  <c r="C209" i="4"/>
  <c r="A210" i="2"/>
  <c r="A210" i="4"/>
  <c r="C213" i="4"/>
  <c r="A214" i="2"/>
  <c r="A214" i="4"/>
  <c r="C217" i="4"/>
  <c r="A218" i="2"/>
  <c r="A218" i="4"/>
  <c r="C221" i="4"/>
  <c r="A222" i="2"/>
  <c r="A222" i="4"/>
  <c r="C225" i="4"/>
  <c r="A226" i="2"/>
  <c r="A226" i="4"/>
  <c r="C229" i="4"/>
  <c r="A230" i="2"/>
  <c r="A230" i="4"/>
  <c r="C233" i="4"/>
  <c r="A234" i="2"/>
  <c r="A234" i="4"/>
  <c r="C237" i="4"/>
  <c r="A238" i="2"/>
  <c r="A238" i="4"/>
  <c r="C241" i="4"/>
  <c r="A242" i="2"/>
  <c r="A242" i="4"/>
  <c r="C245" i="4"/>
  <c r="A246" i="2"/>
  <c r="A246" i="4"/>
  <c r="C249" i="4"/>
  <c r="A250" i="2"/>
  <c r="A250" i="4"/>
  <c r="C253" i="4"/>
  <c r="A254" i="2"/>
  <c r="A254" i="4"/>
  <c r="C257" i="4"/>
  <c r="A258" i="2"/>
  <c r="A258" i="4"/>
  <c r="C261" i="4"/>
  <c r="A262" i="2"/>
  <c r="A262" i="4"/>
  <c r="C263" i="4"/>
  <c r="A264" i="2"/>
  <c r="A264" i="4"/>
  <c r="C267" i="4"/>
  <c r="A268" i="2"/>
  <c r="A268" i="4"/>
  <c r="C271" i="4"/>
  <c r="A272" i="2"/>
  <c r="A272" i="4"/>
  <c r="C275" i="4"/>
  <c r="A276" i="2"/>
  <c r="A276" i="4"/>
  <c r="C279" i="4"/>
  <c r="A280" i="2"/>
  <c r="A280" i="4"/>
  <c r="C283" i="4"/>
  <c r="A284" i="2"/>
  <c r="A284" i="4"/>
  <c r="C287" i="4"/>
  <c r="A288" i="2"/>
  <c r="A288" i="4"/>
  <c r="C291" i="4"/>
  <c r="A292" i="2"/>
  <c r="A292" i="4"/>
  <c r="C294" i="4"/>
  <c r="A295" i="2"/>
  <c r="A295" i="4"/>
  <c r="C298" i="4"/>
  <c r="A299" i="2"/>
  <c r="A299" i="4"/>
  <c r="B9" i="2"/>
  <c r="B9" i="4"/>
  <c r="B13" i="2"/>
  <c r="B13" i="4"/>
  <c r="B17" i="2"/>
  <c r="B17" i="4"/>
  <c r="B21" i="2"/>
  <c r="B21" i="4"/>
  <c r="B25" i="2"/>
  <c r="B25" i="4"/>
  <c r="B29" i="2"/>
  <c r="B29" i="4"/>
  <c r="B33" i="2"/>
  <c r="B33" i="4"/>
  <c r="B35" i="2"/>
  <c r="B35" i="4"/>
  <c r="B39" i="2"/>
  <c r="B39" i="4"/>
  <c r="B43" i="2"/>
  <c r="B43" i="4"/>
  <c r="B47" i="2"/>
  <c r="B47" i="4"/>
  <c r="B51" i="2"/>
  <c r="B51" i="4"/>
  <c r="B55" i="2"/>
  <c r="B55" i="4"/>
  <c r="B59" i="2"/>
  <c r="B59" i="4"/>
  <c r="B63" i="2"/>
  <c r="B63" i="4"/>
  <c r="B67" i="2"/>
  <c r="B67" i="4"/>
  <c r="B71" i="2"/>
  <c r="B71" i="4"/>
  <c r="B75" i="2"/>
  <c r="B75" i="4"/>
  <c r="B79" i="2"/>
  <c r="B79" i="4"/>
  <c r="B83" i="2"/>
  <c r="B83" i="4"/>
  <c r="B87" i="2"/>
  <c r="B87" i="4"/>
  <c r="B91" i="2"/>
  <c r="B91" i="4"/>
  <c r="B95" i="2"/>
  <c r="B95" i="4"/>
  <c r="B99" i="2"/>
  <c r="B99" i="4"/>
  <c r="B103" i="2"/>
  <c r="B103" i="4"/>
  <c r="B107" i="2"/>
  <c r="B107" i="4"/>
  <c r="B111" i="2"/>
  <c r="B111" i="4"/>
  <c r="B115" i="2"/>
  <c r="B115" i="4"/>
  <c r="B119" i="2"/>
  <c r="B119" i="4"/>
  <c r="B123" i="2"/>
  <c r="B123" i="4"/>
  <c r="B127" i="2"/>
  <c r="B127" i="4"/>
  <c r="B131" i="2"/>
  <c r="B131" i="4"/>
  <c r="B135" i="2"/>
  <c r="B135" i="4"/>
  <c r="B139" i="2"/>
  <c r="B139" i="4"/>
  <c r="B143" i="2"/>
  <c r="B143" i="4"/>
  <c r="B147" i="2"/>
  <c r="B147" i="4"/>
  <c r="B151" i="2"/>
  <c r="B151" i="4"/>
  <c r="B155" i="2"/>
  <c r="B155" i="4"/>
  <c r="B162" i="2"/>
  <c r="B162" i="4"/>
  <c r="B166" i="2"/>
  <c r="B166" i="4"/>
  <c r="B170" i="2"/>
  <c r="B170" i="4"/>
  <c r="B174" i="2"/>
  <c r="B174" i="4"/>
  <c r="B178" i="2"/>
  <c r="B178" i="4"/>
  <c r="B182" i="2"/>
  <c r="B182" i="4"/>
  <c r="B186" i="2"/>
  <c r="B186" i="4"/>
  <c r="B190" i="2"/>
  <c r="B190" i="4"/>
  <c r="B194" i="2"/>
  <c r="B194" i="4"/>
  <c r="B198" i="2"/>
  <c r="B198" i="4"/>
  <c r="B202" i="2"/>
  <c r="B202" i="4"/>
  <c r="B206" i="2"/>
  <c r="B206" i="4"/>
  <c r="B210" i="2"/>
  <c r="B210" i="4"/>
  <c r="B214" i="2"/>
  <c r="B214" i="4"/>
  <c r="B218" i="2"/>
  <c r="B218" i="4"/>
  <c r="B222" i="2"/>
  <c r="B222" i="4"/>
  <c r="B226" i="2"/>
  <c r="B226" i="4"/>
  <c r="B230" i="2"/>
  <c r="B230" i="4"/>
  <c r="B234" i="2"/>
  <c r="B234" i="4"/>
  <c r="B238" i="2"/>
  <c r="B238" i="4"/>
  <c r="B242" i="2"/>
  <c r="B242" i="4"/>
  <c r="B246" i="2"/>
  <c r="B246" i="4"/>
  <c r="B250" i="2"/>
  <c r="B250" i="4"/>
  <c r="B254" i="2"/>
  <c r="B254" i="4"/>
  <c r="B258" i="2"/>
  <c r="B258" i="4"/>
  <c r="B262" i="2"/>
  <c r="B262" i="4"/>
  <c r="B264" i="2"/>
  <c r="B264" i="4"/>
  <c r="B268" i="2"/>
  <c r="B268" i="4"/>
  <c r="B272" i="2"/>
  <c r="B272" i="4"/>
  <c r="B276" i="2"/>
  <c r="B276" i="4"/>
  <c r="B280" i="2"/>
  <c r="B280" i="4"/>
  <c r="B284" i="2"/>
  <c r="B284" i="4"/>
  <c r="B288" i="2"/>
  <c r="B288" i="4"/>
  <c r="B292" i="2"/>
  <c r="B292" i="4"/>
  <c r="B295" i="2"/>
  <c r="B295" i="4"/>
  <c r="B299" i="2"/>
  <c r="B299" i="4"/>
  <c r="C8" i="2"/>
  <c r="C8" i="4"/>
  <c r="C8" i="3"/>
  <c r="S302" i="53"/>
  <c r="T302" i="53"/>
  <c r="Y302" i="53"/>
  <c r="L302" i="53"/>
  <c r="F302" i="53"/>
  <c r="H302" i="53"/>
  <c r="P302" i="53"/>
  <c r="G302" i="53"/>
  <c r="O302" i="53"/>
  <c r="I302" i="53"/>
  <c r="Q302" i="53"/>
  <c r="J302" i="53"/>
  <c r="R302" i="53"/>
  <c r="C302" i="53"/>
  <c r="K302" i="53"/>
  <c r="M302" i="53"/>
  <c r="P39" i="45" l="1"/>
  <c r="N8" i="53"/>
  <c r="N9" i="53"/>
  <c r="N17" i="53"/>
  <c r="N25" i="53"/>
  <c r="N33" i="53"/>
  <c r="N41" i="53"/>
  <c r="N49" i="53"/>
  <c r="N57" i="53"/>
  <c r="N65" i="53"/>
  <c r="N73" i="53"/>
  <c r="N81" i="53"/>
  <c r="N89" i="53"/>
  <c r="N97" i="53"/>
  <c r="N105" i="53"/>
  <c r="N113" i="53"/>
  <c r="N121" i="53"/>
  <c r="N129" i="53"/>
  <c r="N137" i="53"/>
  <c r="N145" i="53"/>
  <c r="N153" i="53"/>
  <c r="N161" i="53"/>
  <c r="N169" i="53"/>
  <c r="N177" i="53"/>
  <c r="N185" i="53"/>
  <c r="N193" i="53"/>
  <c r="N201" i="53"/>
  <c r="N209" i="53"/>
  <c r="N217" i="53"/>
  <c r="N225" i="53"/>
  <c r="N233" i="53"/>
  <c r="N241" i="53"/>
  <c r="N249" i="53"/>
  <c r="N257" i="53"/>
  <c r="N265" i="53"/>
  <c r="N273" i="53"/>
  <c r="N281" i="53"/>
  <c r="N289" i="53"/>
  <c r="N297" i="53"/>
  <c r="N10" i="53"/>
  <c r="N18" i="53"/>
  <c r="N26" i="53"/>
  <c r="N34" i="53"/>
  <c r="N42" i="53"/>
  <c r="N50" i="53"/>
  <c r="N58" i="53"/>
  <c r="N66" i="53"/>
  <c r="N74" i="53"/>
  <c r="N82" i="53"/>
  <c r="N90" i="53"/>
  <c r="N98" i="53"/>
  <c r="N106" i="53"/>
  <c r="N114" i="53"/>
  <c r="N122" i="53"/>
  <c r="N130" i="53"/>
  <c r="N138" i="53"/>
  <c r="N146" i="53"/>
  <c r="N154" i="53"/>
  <c r="N162" i="53"/>
  <c r="N170" i="53"/>
  <c r="N178" i="53"/>
  <c r="N186" i="53"/>
  <c r="N194" i="53"/>
  <c r="N202" i="53"/>
  <c r="N210" i="53"/>
  <c r="N218" i="53"/>
  <c r="N226" i="53"/>
  <c r="N234" i="53"/>
  <c r="N242" i="53"/>
  <c r="N250" i="53"/>
  <c r="N258" i="53"/>
  <c r="N266" i="53"/>
  <c r="N274" i="53"/>
  <c r="N282" i="53"/>
  <c r="N290" i="53"/>
  <c r="N298" i="53"/>
  <c r="N301" i="53"/>
  <c r="N39" i="53"/>
  <c r="N63" i="53"/>
  <c r="N111" i="53"/>
  <c r="N143" i="53"/>
  <c r="N11" i="53"/>
  <c r="N19" i="53"/>
  <c r="N27" i="53"/>
  <c r="N35" i="53"/>
  <c r="N43" i="53"/>
  <c r="N51" i="53"/>
  <c r="N59" i="53"/>
  <c r="N67" i="53"/>
  <c r="N75" i="53"/>
  <c r="N83" i="53"/>
  <c r="N91" i="53"/>
  <c r="N99" i="53"/>
  <c r="N107" i="53"/>
  <c r="N115" i="53"/>
  <c r="N123" i="53"/>
  <c r="N131" i="53"/>
  <c r="N139" i="53"/>
  <c r="N147" i="53"/>
  <c r="N155" i="53"/>
  <c r="N163" i="53"/>
  <c r="N171" i="53"/>
  <c r="N179" i="53"/>
  <c r="N187" i="53"/>
  <c r="N195" i="53"/>
  <c r="N203" i="53"/>
  <c r="N211" i="53"/>
  <c r="N219" i="53"/>
  <c r="N227" i="53"/>
  <c r="N235" i="53"/>
  <c r="N243" i="53"/>
  <c r="N251" i="53"/>
  <c r="N259" i="53"/>
  <c r="N267" i="53"/>
  <c r="N275" i="53"/>
  <c r="N283" i="53"/>
  <c r="N291" i="53"/>
  <c r="N299" i="53"/>
  <c r="N47" i="53"/>
  <c r="N87" i="53"/>
  <c r="N127" i="53"/>
  <c r="N167" i="53"/>
  <c r="N207" i="53"/>
  <c r="N12" i="53"/>
  <c r="N20" i="53"/>
  <c r="N28" i="53"/>
  <c r="N36" i="53"/>
  <c r="N44" i="53"/>
  <c r="N52" i="53"/>
  <c r="N60" i="53"/>
  <c r="N68" i="53"/>
  <c r="N76" i="53"/>
  <c r="N84" i="53"/>
  <c r="N92" i="53"/>
  <c r="N100" i="53"/>
  <c r="N108" i="53"/>
  <c r="N116" i="53"/>
  <c r="N124" i="53"/>
  <c r="N132" i="53"/>
  <c r="N140" i="53"/>
  <c r="N148" i="53"/>
  <c r="N156" i="53"/>
  <c r="N164" i="53"/>
  <c r="N172" i="53"/>
  <c r="N180" i="53"/>
  <c r="N188" i="53"/>
  <c r="N196" i="53"/>
  <c r="N204" i="53"/>
  <c r="N212" i="53"/>
  <c r="N220" i="53"/>
  <c r="N228" i="53"/>
  <c r="N236" i="53"/>
  <c r="N244" i="53"/>
  <c r="N252" i="53"/>
  <c r="N260" i="53"/>
  <c r="N268" i="53"/>
  <c r="N276" i="53"/>
  <c r="N284" i="53"/>
  <c r="N292" i="53"/>
  <c r="N300" i="53"/>
  <c r="N15" i="53"/>
  <c r="N55" i="53"/>
  <c r="N95" i="53"/>
  <c r="N151" i="53"/>
  <c r="N191" i="53"/>
  <c r="N13" i="53"/>
  <c r="N21" i="53"/>
  <c r="N29" i="53"/>
  <c r="N37" i="53"/>
  <c r="N45" i="53"/>
  <c r="N53" i="53"/>
  <c r="N61" i="53"/>
  <c r="N69" i="53"/>
  <c r="N77" i="53"/>
  <c r="N85" i="53"/>
  <c r="N93" i="53"/>
  <c r="N101" i="53"/>
  <c r="N109" i="53"/>
  <c r="N117" i="53"/>
  <c r="N125" i="53"/>
  <c r="N133" i="53"/>
  <c r="N141" i="53"/>
  <c r="N149" i="53"/>
  <c r="N157" i="53"/>
  <c r="N165" i="53"/>
  <c r="N173" i="53"/>
  <c r="N181" i="53"/>
  <c r="N189" i="53"/>
  <c r="N197" i="53"/>
  <c r="N205" i="53"/>
  <c r="N213" i="53"/>
  <c r="N221" i="53"/>
  <c r="N229" i="53"/>
  <c r="N237" i="53"/>
  <c r="N245" i="53"/>
  <c r="N253" i="53"/>
  <c r="N261" i="53"/>
  <c r="N269" i="53"/>
  <c r="N277" i="53"/>
  <c r="N285" i="53"/>
  <c r="N293" i="53"/>
  <c r="N23" i="53"/>
  <c r="N79" i="53"/>
  <c r="N119" i="53"/>
  <c r="N159" i="53"/>
  <c r="N199" i="53"/>
  <c r="N14" i="53"/>
  <c r="N22" i="53"/>
  <c r="N30" i="53"/>
  <c r="N38" i="53"/>
  <c r="N46" i="53"/>
  <c r="N54" i="53"/>
  <c r="N62" i="53"/>
  <c r="N70" i="53"/>
  <c r="N78" i="53"/>
  <c r="N86" i="53"/>
  <c r="N94" i="53"/>
  <c r="N102" i="53"/>
  <c r="N110" i="53"/>
  <c r="N118" i="53"/>
  <c r="N126" i="53"/>
  <c r="N134" i="53"/>
  <c r="N142" i="53"/>
  <c r="N150" i="53"/>
  <c r="N158" i="53"/>
  <c r="N166" i="53"/>
  <c r="N174" i="53"/>
  <c r="N182" i="53"/>
  <c r="N190" i="53"/>
  <c r="N198" i="53"/>
  <c r="N206" i="53"/>
  <c r="N214" i="53"/>
  <c r="N222" i="53"/>
  <c r="N230" i="53"/>
  <c r="N238" i="53"/>
  <c r="N246" i="53"/>
  <c r="N254" i="53"/>
  <c r="N262" i="53"/>
  <c r="N270" i="53"/>
  <c r="N278" i="53"/>
  <c r="N286" i="53"/>
  <c r="N294" i="53"/>
  <c r="N31" i="53"/>
  <c r="N71" i="53"/>
  <c r="N103" i="53"/>
  <c r="N135" i="53"/>
  <c r="N16" i="53"/>
  <c r="N80" i="53"/>
  <c r="N144" i="53"/>
  <c r="N192" i="53"/>
  <c r="N232" i="53"/>
  <c r="N264" i="53"/>
  <c r="N296" i="53"/>
  <c r="N88" i="53"/>
  <c r="N152" i="53"/>
  <c r="N200" i="53"/>
  <c r="N239" i="53"/>
  <c r="N271" i="53"/>
  <c r="N160" i="53"/>
  <c r="N240" i="53"/>
  <c r="N104" i="53"/>
  <c r="N215" i="53"/>
  <c r="N216" i="53"/>
  <c r="N255" i="53"/>
  <c r="N263" i="53"/>
  <c r="N263" i="2" s="1"/>
  <c r="N24" i="53"/>
  <c r="N32" i="53"/>
  <c r="N208" i="53"/>
  <c r="N272" i="53"/>
  <c r="N112" i="53"/>
  <c r="N248" i="53"/>
  <c r="N183" i="53"/>
  <c r="N295" i="53"/>
  <c r="N96" i="53"/>
  <c r="N40" i="53"/>
  <c r="N168" i="53"/>
  <c r="N279" i="53"/>
  <c r="N175" i="53"/>
  <c r="N176" i="53"/>
  <c r="N224" i="53"/>
  <c r="N72" i="53"/>
  <c r="N184" i="53"/>
  <c r="N247" i="53"/>
  <c r="N48" i="53"/>
  <c r="N280" i="53"/>
  <c r="N56" i="53"/>
  <c r="N223" i="53"/>
  <c r="N64" i="53"/>
  <c r="N256" i="53"/>
  <c r="N287" i="53"/>
  <c r="N288" i="53"/>
  <c r="N231" i="53"/>
  <c r="N120" i="53"/>
  <c r="N128" i="53"/>
  <c r="N136" i="53"/>
  <c r="U25" i="45"/>
  <c r="U21" i="45"/>
  <c r="G4" i="45"/>
  <c r="B37" i="45" s="1"/>
  <c r="G27" i="45"/>
  <c r="G25" i="45"/>
  <c r="N14" i="45"/>
  <c r="N6" i="45"/>
  <c r="N17" i="45"/>
  <c r="F220" i="29"/>
  <c r="G220" i="29"/>
  <c r="H220" i="29"/>
  <c r="J220" i="29"/>
  <c r="K220" i="29"/>
  <c r="E220" i="29"/>
  <c r="I220" i="29"/>
  <c r="O220" i="29"/>
  <c r="D220" i="29"/>
  <c r="G45" i="29"/>
  <c r="H45" i="29"/>
  <c r="I45" i="29"/>
  <c r="J45" i="29"/>
  <c r="D45" i="29"/>
  <c r="O45" i="29"/>
  <c r="E45" i="29"/>
  <c r="K45" i="29"/>
  <c r="F45" i="29"/>
  <c r="J211" i="29"/>
  <c r="K211" i="29"/>
  <c r="G211" i="29"/>
  <c r="I211" i="29"/>
  <c r="D211" i="29"/>
  <c r="E211" i="29"/>
  <c r="F211" i="29"/>
  <c r="H211" i="29"/>
  <c r="O211" i="29"/>
  <c r="I84" i="29"/>
  <c r="J84" i="29"/>
  <c r="K84" i="29"/>
  <c r="D84" i="29"/>
  <c r="E84" i="29"/>
  <c r="G84" i="29"/>
  <c r="F84" i="29"/>
  <c r="H84" i="29"/>
  <c r="O84" i="29"/>
  <c r="D222" i="29"/>
  <c r="F222" i="29"/>
  <c r="G222" i="29"/>
  <c r="H222" i="29"/>
  <c r="J222" i="29"/>
  <c r="K222" i="29"/>
  <c r="E222" i="29"/>
  <c r="I222" i="29"/>
  <c r="O222" i="29"/>
  <c r="J190" i="29"/>
  <c r="K190" i="29"/>
  <c r="G190" i="29"/>
  <c r="D190" i="29"/>
  <c r="E190" i="29"/>
  <c r="F190" i="29"/>
  <c r="I190" i="29"/>
  <c r="H190" i="29"/>
  <c r="O190" i="29"/>
  <c r="F47" i="29"/>
  <c r="G47" i="29"/>
  <c r="H47" i="29"/>
  <c r="I47" i="29"/>
  <c r="J47" i="29"/>
  <c r="D47" i="29"/>
  <c r="E47" i="29"/>
  <c r="K47" i="29"/>
  <c r="O47" i="29"/>
  <c r="G277" i="29"/>
  <c r="H277" i="29"/>
  <c r="I277" i="29"/>
  <c r="J277" i="29"/>
  <c r="D277" i="29"/>
  <c r="K277" i="29"/>
  <c r="E277" i="29"/>
  <c r="F277" i="29"/>
  <c r="O277" i="29"/>
  <c r="F291" i="29"/>
  <c r="G291" i="29"/>
  <c r="H291" i="29"/>
  <c r="I291" i="29"/>
  <c r="J291" i="29"/>
  <c r="K291" i="29"/>
  <c r="D291" i="29"/>
  <c r="E291" i="29"/>
  <c r="F275" i="29"/>
  <c r="G275" i="29"/>
  <c r="H275" i="29"/>
  <c r="I275" i="29"/>
  <c r="J275" i="29"/>
  <c r="D275" i="29"/>
  <c r="K275" i="29"/>
  <c r="E275" i="29"/>
  <c r="F261" i="29"/>
  <c r="G261" i="29"/>
  <c r="H261" i="29"/>
  <c r="I261" i="29"/>
  <c r="J261" i="29"/>
  <c r="K261" i="29"/>
  <c r="D261" i="29"/>
  <c r="E261" i="29"/>
  <c r="O261" i="29"/>
  <c r="D245" i="29"/>
  <c r="G245" i="29"/>
  <c r="I245" i="29"/>
  <c r="J245" i="29"/>
  <c r="K245" i="29"/>
  <c r="F245" i="29"/>
  <c r="E245" i="29"/>
  <c r="H245" i="29"/>
  <c r="O245" i="29"/>
  <c r="D229" i="29"/>
  <c r="F229" i="29"/>
  <c r="G229" i="29"/>
  <c r="H229" i="29"/>
  <c r="E229" i="29"/>
  <c r="I229" i="29"/>
  <c r="J229" i="29"/>
  <c r="K229" i="29"/>
  <c r="O229" i="29"/>
  <c r="D213" i="29"/>
  <c r="F213" i="29"/>
  <c r="G213" i="29"/>
  <c r="H213" i="29"/>
  <c r="I213" i="29"/>
  <c r="E213" i="29"/>
  <c r="J213" i="29"/>
  <c r="K213" i="29"/>
  <c r="O213" i="29"/>
  <c r="K201" i="29"/>
  <c r="G201" i="29"/>
  <c r="D201" i="29"/>
  <c r="E201" i="29"/>
  <c r="F201" i="29"/>
  <c r="H201" i="29"/>
  <c r="I201" i="29"/>
  <c r="O201" i="29"/>
  <c r="J201" i="29"/>
  <c r="J197" i="29"/>
  <c r="K197" i="29"/>
  <c r="G197" i="29"/>
  <c r="F197" i="29"/>
  <c r="I197" i="29"/>
  <c r="D197" i="29"/>
  <c r="E197" i="29"/>
  <c r="H197" i="29"/>
  <c r="O197" i="29"/>
  <c r="J181" i="29"/>
  <c r="K181" i="29"/>
  <c r="D181" i="29"/>
  <c r="G181" i="29"/>
  <c r="E181" i="29"/>
  <c r="H181" i="29"/>
  <c r="I181" i="29"/>
  <c r="F181" i="29"/>
  <c r="O181" i="29"/>
  <c r="I165" i="29"/>
  <c r="J165" i="29"/>
  <c r="K165" i="29"/>
  <c r="D165" i="29"/>
  <c r="G165" i="29"/>
  <c r="E165" i="29"/>
  <c r="F165" i="29"/>
  <c r="H165" i="29"/>
  <c r="O165" i="29"/>
  <c r="I150" i="29"/>
  <c r="J150" i="29"/>
  <c r="K150" i="29"/>
  <c r="D150" i="29"/>
  <c r="G150" i="29"/>
  <c r="E150" i="29"/>
  <c r="F150" i="29"/>
  <c r="H150" i="29"/>
  <c r="I134" i="29"/>
  <c r="J134" i="29"/>
  <c r="K134" i="29"/>
  <c r="D134" i="29"/>
  <c r="G134" i="29"/>
  <c r="E134" i="29"/>
  <c r="F134" i="29"/>
  <c r="H134" i="29"/>
  <c r="O134" i="29"/>
  <c r="I102" i="29"/>
  <c r="J102" i="29"/>
  <c r="K102" i="29"/>
  <c r="D102" i="29"/>
  <c r="E102" i="29"/>
  <c r="G102" i="29"/>
  <c r="F102" i="29"/>
  <c r="H102" i="29"/>
  <c r="O102" i="29"/>
  <c r="I86" i="29"/>
  <c r="J86" i="29"/>
  <c r="K86" i="29"/>
  <c r="D86" i="29"/>
  <c r="E86" i="29"/>
  <c r="G86" i="29"/>
  <c r="F86" i="29"/>
  <c r="H86" i="29"/>
  <c r="O86" i="29"/>
  <c r="I70" i="29"/>
  <c r="J70" i="29"/>
  <c r="K70" i="29"/>
  <c r="D70" i="29"/>
  <c r="E70" i="29"/>
  <c r="G70" i="29"/>
  <c r="F70" i="29"/>
  <c r="H70" i="29"/>
  <c r="O70" i="29"/>
  <c r="F54" i="29"/>
  <c r="D54" i="29"/>
  <c r="E54" i="29"/>
  <c r="I54" i="29"/>
  <c r="J54" i="29"/>
  <c r="K54" i="29"/>
  <c r="G54" i="29"/>
  <c r="H54" i="29"/>
  <c r="O54" i="29"/>
  <c r="F38" i="29"/>
  <c r="G38" i="29"/>
  <c r="H38" i="29"/>
  <c r="I38" i="29"/>
  <c r="J38" i="29"/>
  <c r="D38" i="29"/>
  <c r="E38" i="29"/>
  <c r="K38" i="29"/>
  <c r="O38" i="29"/>
  <c r="F24" i="29"/>
  <c r="G24" i="29"/>
  <c r="H24" i="29"/>
  <c r="I24" i="29"/>
  <c r="J24" i="29"/>
  <c r="D24" i="29"/>
  <c r="E24" i="29"/>
  <c r="K24" i="29"/>
  <c r="O24" i="29"/>
  <c r="G297" i="29"/>
  <c r="H297" i="29"/>
  <c r="I297" i="29"/>
  <c r="J297" i="29"/>
  <c r="D297" i="29"/>
  <c r="K297" i="29"/>
  <c r="E297" i="29"/>
  <c r="O297" i="29"/>
  <c r="F297" i="29"/>
  <c r="G266" i="29"/>
  <c r="H266" i="29"/>
  <c r="I266" i="29"/>
  <c r="J266" i="29"/>
  <c r="K266" i="29"/>
  <c r="D266" i="29"/>
  <c r="E266" i="29"/>
  <c r="F266" i="29"/>
  <c r="K188" i="29"/>
  <c r="G188" i="29"/>
  <c r="E188" i="29"/>
  <c r="F188" i="29"/>
  <c r="O188" i="29"/>
  <c r="H188" i="29"/>
  <c r="I188" i="29"/>
  <c r="D188" i="29"/>
  <c r="J188" i="29"/>
  <c r="J93" i="29"/>
  <c r="K93" i="29"/>
  <c r="D93" i="29"/>
  <c r="E93" i="29"/>
  <c r="G93" i="29"/>
  <c r="F93" i="29"/>
  <c r="H93" i="29"/>
  <c r="O93" i="29"/>
  <c r="I93" i="29"/>
  <c r="J195" i="29"/>
  <c r="K195" i="29"/>
  <c r="G195" i="29"/>
  <c r="I195" i="29"/>
  <c r="D195" i="29"/>
  <c r="E195" i="29"/>
  <c r="F195" i="29"/>
  <c r="H195" i="29"/>
  <c r="I116" i="29"/>
  <c r="J116" i="29"/>
  <c r="K116" i="29"/>
  <c r="D116" i="29"/>
  <c r="E116" i="29"/>
  <c r="G116" i="29"/>
  <c r="F116" i="29"/>
  <c r="H116" i="29"/>
  <c r="F52" i="29"/>
  <c r="G52" i="29"/>
  <c r="H52" i="29"/>
  <c r="I52" i="29"/>
  <c r="J52" i="29"/>
  <c r="D52" i="29"/>
  <c r="E52" i="29"/>
  <c r="K52" i="29"/>
  <c r="O52" i="29"/>
  <c r="D238" i="29"/>
  <c r="F238" i="29"/>
  <c r="G238" i="29"/>
  <c r="E238" i="29"/>
  <c r="H238" i="29"/>
  <c r="I238" i="29"/>
  <c r="K238" i="29"/>
  <c r="O238" i="29"/>
  <c r="J238" i="29"/>
  <c r="J174" i="29"/>
  <c r="K174" i="29"/>
  <c r="D174" i="29"/>
  <c r="G174" i="29"/>
  <c r="E174" i="29"/>
  <c r="F174" i="29"/>
  <c r="H174" i="29"/>
  <c r="O174" i="29"/>
  <c r="I174" i="29"/>
  <c r="I143" i="29"/>
  <c r="J143" i="29"/>
  <c r="K143" i="29"/>
  <c r="D143" i="29"/>
  <c r="G143" i="29"/>
  <c r="E143" i="29"/>
  <c r="F143" i="29"/>
  <c r="H143" i="29"/>
  <c r="G17" i="29"/>
  <c r="H17" i="29"/>
  <c r="I17" i="29"/>
  <c r="J17" i="29"/>
  <c r="D17" i="29"/>
  <c r="E17" i="29"/>
  <c r="F17" i="29"/>
  <c r="K17" i="29"/>
  <c r="O17" i="29"/>
  <c r="F301" i="29"/>
  <c r="G301" i="29"/>
  <c r="H301" i="29"/>
  <c r="I301" i="29"/>
  <c r="J301" i="29"/>
  <c r="D301" i="29"/>
  <c r="K301" i="29"/>
  <c r="E301" i="29"/>
  <c r="O301" i="29"/>
  <c r="F286" i="29"/>
  <c r="G286" i="29"/>
  <c r="H286" i="29"/>
  <c r="I286" i="29"/>
  <c r="J286" i="29"/>
  <c r="D286" i="29"/>
  <c r="K286" i="29"/>
  <c r="E286" i="29"/>
  <c r="O286" i="29"/>
  <c r="F270" i="29"/>
  <c r="G270" i="29"/>
  <c r="H270" i="29"/>
  <c r="I270" i="29"/>
  <c r="J270" i="29"/>
  <c r="K270" i="29"/>
  <c r="D270" i="29"/>
  <c r="E270" i="29"/>
  <c r="D256" i="29"/>
  <c r="E256" i="29"/>
  <c r="F256" i="29"/>
  <c r="G256" i="29"/>
  <c r="H256" i="29"/>
  <c r="J256" i="29"/>
  <c r="I256" i="29"/>
  <c r="O256" i="29"/>
  <c r="K256" i="29"/>
  <c r="D240" i="29"/>
  <c r="F240" i="29"/>
  <c r="G240" i="29"/>
  <c r="K240" i="29"/>
  <c r="E240" i="29"/>
  <c r="H240" i="29"/>
  <c r="I240" i="29"/>
  <c r="O240" i="29"/>
  <c r="J240" i="29"/>
  <c r="D224" i="29"/>
  <c r="F224" i="29"/>
  <c r="G224" i="29"/>
  <c r="H224" i="29"/>
  <c r="J224" i="29"/>
  <c r="K224" i="29"/>
  <c r="E224" i="29"/>
  <c r="O224" i="29"/>
  <c r="I224" i="29"/>
  <c r="J208" i="29"/>
  <c r="K208" i="29"/>
  <c r="G208" i="29"/>
  <c r="H208" i="29"/>
  <c r="D208" i="29"/>
  <c r="I208" i="29"/>
  <c r="E208" i="29"/>
  <c r="F208" i="29"/>
  <c r="O208" i="29"/>
  <c r="J192" i="29"/>
  <c r="K192" i="29"/>
  <c r="G192" i="29"/>
  <c r="H192" i="29"/>
  <c r="D192" i="29"/>
  <c r="E192" i="29"/>
  <c r="F192" i="29"/>
  <c r="O192" i="29"/>
  <c r="I192" i="29"/>
  <c r="J176" i="29"/>
  <c r="K176" i="29"/>
  <c r="D176" i="29"/>
  <c r="G176" i="29"/>
  <c r="E176" i="29"/>
  <c r="F176" i="29"/>
  <c r="H176" i="29"/>
  <c r="O176" i="29"/>
  <c r="I176" i="29"/>
  <c r="I160" i="29"/>
  <c r="J160" i="29"/>
  <c r="K160" i="29"/>
  <c r="D160" i="29"/>
  <c r="G160" i="29"/>
  <c r="E160" i="29"/>
  <c r="F160" i="29"/>
  <c r="O160" i="29"/>
  <c r="H160" i="29"/>
  <c r="I145" i="29"/>
  <c r="J145" i="29"/>
  <c r="K145" i="29"/>
  <c r="D145" i="29"/>
  <c r="G145" i="29"/>
  <c r="E145" i="29"/>
  <c r="F145" i="29"/>
  <c r="H145" i="29"/>
  <c r="O145" i="29"/>
  <c r="I129" i="29"/>
  <c r="J129" i="29"/>
  <c r="K129" i="29"/>
  <c r="D129" i="29"/>
  <c r="G129" i="29"/>
  <c r="E129" i="29"/>
  <c r="F129" i="29"/>
  <c r="H129" i="29"/>
  <c r="I113" i="29"/>
  <c r="J113" i="29"/>
  <c r="K113" i="29"/>
  <c r="D113" i="29"/>
  <c r="E113" i="29"/>
  <c r="G113" i="29"/>
  <c r="F113" i="29"/>
  <c r="H113" i="29"/>
  <c r="I97" i="29"/>
  <c r="J97" i="29"/>
  <c r="K97" i="29"/>
  <c r="D97" i="29"/>
  <c r="E97" i="29"/>
  <c r="G97" i="29"/>
  <c r="F97" i="29"/>
  <c r="O97" i="29"/>
  <c r="H97" i="29"/>
  <c r="I81" i="29"/>
  <c r="J81" i="29"/>
  <c r="K81" i="29"/>
  <c r="D81" i="29"/>
  <c r="E81" i="29"/>
  <c r="G81" i="29"/>
  <c r="F81" i="29"/>
  <c r="H81" i="29"/>
  <c r="O81" i="29"/>
  <c r="I65" i="29"/>
  <c r="J65" i="29"/>
  <c r="K65" i="29"/>
  <c r="D65" i="29"/>
  <c r="E65" i="29"/>
  <c r="G65" i="29"/>
  <c r="F65" i="29"/>
  <c r="H65" i="29"/>
  <c r="O65" i="29"/>
  <c r="F49" i="29"/>
  <c r="G49" i="29"/>
  <c r="H49" i="29"/>
  <c r="I49" i="29"/>
  <c r="J49" i="29"/>
  <c r="D49" i="29"/>
  <c r="E49" i="29"/>
  <c r="K49" i="29"/>
  <c r="O49" i="29"/>
  <c r="F19" i="29"/>
  <c r="G19" i="29"/>
  <c r="H19" i="29"/>
  <c r="I19" i="29"/>
  <c r="J19" i="29"/>
  <c r="D19" i="29"/>
  <c r="E19" i="29"/>
  <c r="K19" i="29"/>
  <c r="O19" i="29"/>
  <c r="G293" i="29"/>
  <c r="H293" i="29"/>
  <c r="I293" i="29"/>
  <c r="J293" i="29"/>
  <c r="K293" i="29"/>
  <c r="D293" i="29"/>
  <c r="E293" i="29"/>
  <c r="F293" i="29"/>
  <c r="K247" i="29"/>
  <c r="E247" i="29"/>
  <c r="F247" i="29"/>
  <c r="O247" i="29"/>
  <c r="G247" i="29"/>
  <c r="H247" i="29"/>
  <c r="I247" i="29"/>
  <c r="J247" i="29"/>
  <c r="D247" i="29"/>
  <c r="F231" i="29"/>
  <c r="G231" i="29"/>
  <c r="H231" i="29"/>
  <c r="E231" i="29"/>
  <c r="I231" i="29"/>
  <c r="O231" i="29"/>
  <c r="J231" i="29"/>
  <c r="K231" i="29"/>
  <c r="D231" i="29"/>
  <c r="F215" i="29"/>
  <c r="G215" i="29"/>
  <c r="H215" i="29"/>
  <c r="I215" i="29"/>
  <c r="J215" i="29"/>
  <c r="K215" i="29"/>
  <c r="E215" i="29"/>
  <c r="O215" i="29"/>
  <c r="D215" i="29"/>
  <c r="K199" i="29"/>
  <c r="O199" i="29"/>
  <c r="G199" i="29"/>
  <c r="D199" i="29"/>
  <c r="F199" i="29"/>
  <c r="H199" i="29"/>
  <c r="I199" i="29"/>
  <c r="E199" i="29"/>
  <c r="J199" i="29"/>
  <c r="K187" i="29"/>
  <c r="G187" i="29"/>
  <c r="I187" i="29"/>
  <c r="O187" i="29"/>
  <c r="D187" i="29"/>
  <c r="E187" i="29"/>
  <c r="H187" i="29"/>
  <c r="F187" i="29"/>
  <c r="J187" i="29"/>
  <c r="K183" i="29"/>
  <c r="G183" i="29"/>
  <c r="D183" i="29"/>
  <c r="F183" i="29"/>
  <c r="H183" i="29"/>
  <c r="I183" i="29"/>
  <c r="E183" i="29"/>
  <c r="J183" i="29"/>
  <c r="K167" i="29"/>
  <c r="D167" i="29"/>
  <c r="G167" i="29"/>
  <c r="E167" i="29"/>
  <c r="O167" i="29"/>
  <c r="H167" i="29"/>
  <c r="I167" i="29"/>
  <c r="F167" i="29"/>
  <c r="J167" i="29"/>
  <c r="J152" i="29"/>
  <c r="K152" i="29"/>
  <c r="D152" i="29"/>
  <c r="G152" i="29"/>
  <c r="E152" i="29"/>
  <c r="H152" i="29"/>
  <c r="O152" i="29"/>
  <c r="F152" i="29"/>
  <c r="I152" i="29"/>
  <c r="J136" i="29"/>
  <c r="K136" i="29"/>
  <c r="D136" i="29"/>
  <c r="G136" i="29"/>
  <c r="E136" i="29"/>
  <c r="H136" i="29"/>
  <c r="F136" i="29"/>
  <c r="O136" i="29"/>
  <c r="I136" i="29"/>
  <c r="J120" i="29"/>
  <c r="K120" i="29"/>
  <c r="D120" i="29"/>
  <c r="G120" i="29"/>
  <c r="E120" i="29"/>
  <c r="H120" i="29"/>
  <c r="F120" i="29"/>
  <c r="I120" i="29"/>
  <c r="J104" i="29"/>
  <c r="O104" i="29"/>
  <c r="K104" i="29"/>
  <c r="D104" i="29"/>
  <c r="E104" i="29"/>
  <c r="G104" i="29"/>
  <c r="F104" i="29"/>
  <c r="H104" i="29"/>
  <c r="I104" i="29"/>
  <c r="J88" i="29"/>
  <c r="K88" i="29"/>
  <c r="D88" i="29"/>
  <c r="O88" i="29"/>
  <c r="E88" i="29"/>
  <c r="G88" i="29"/>
  <c r="F88" i="29"/>
  <c r="H88" i="29"/>
  <c r="I88" i="29"/>
  <c r="J72" i="29"/>
  <c r="K72" i="29"/>
  <c r="D72" i="29"/>
  <c r="E72" i="29"/>
  <c r="G72" i="29"/>
  <c r="O72" i="29"/>
  <c r="F72" i="29"/>
  <c r="H72" i="29"/>
  <c r="I72" i="29"/>
  <c r="J56" i="29"/>
  <c r="K56" i="29"/>
  <c r="D56" i="29"/>
  <c r="E56" i="29"/>
  <c r="G56" i="29"/>
  <c r="F56" i="29"/>
  <c r="H56" i="29"/>
  <c r="O56" i="29"/>
  <c r="I56" i="29"/>
  <c r="G40" i="29"/>
  <c r="O40" i="29"/>
  <c r="H40" i="29"/>
  <c r="I40" i="29"/>
  <c r="J40" i="29"/>
  <c r="D40" i="29"/>
  <c r="E40" i="29"/>
  <c r="K40" i="29"/>
  <c r="F40" i="29"/>
  <c r="G26" i="29"/>
  <c r="H26" i="29"/>
  <c r="I26" i="29"/>
  <c r="O26" i="29"/>
  <c r="J26" i="29"/>
  <c r="D26" i="29"/>
  <c r="E26" i="29"/>
  <c r="K26" i="29"/>
  <c r="F26" i="29"/>
  <c r="G10" i="29"/>
  <c r="H10" i="29"/>
  <c r="I10" i="29"/>
  <c r="J10" i="29"/>
  <c r="D10" i="29"/>
  <c r="O10" i="29"/>
  <c r="E10" i="29"/>
  <c r="K10" i="29"/>
  <c r="F10" i="29"/>
  <c r="P302" i="21"/>
  <c r="F288" i="29"/>
  <c r="G288" i="29"/>
  <c r="H288" i="29"/>
  <c r="I288" i="29"/>
  <c r="J288" i="29"/>
  <c r="D288" i="29"/>
  <c r="K288" i="29"/>
  <c r="O288" i="29"/>
  <c r="E288" i="29"/>
  <c r="F272" i="29"/>
  <c r="G272" i="29"/>
  <c r="H272" i="29"/>
  <c r="I272" i="29"/>
  <c r="J272" i="29"/>
  <c r="K272" i="29"/>
  <c r="D272" i="29"/>
  <c r="E272" i="29"/>
  <c r="D258" i="29"/>
  <c r="F258" i="29"/>
  <c r="G258" i="29"/>
  <c r="H258" i="29"/>
  <c r="I258" i="29"/>
  <c r="J258" i="29"/>
  <c r="K258" i="29"/>
  <c r="E258" i="29"/>
  <c r="O258" i="29"/>
  <c r="D242" i="29"/>
  <c r="F242" i="29"/>
  <c r="G242" i="29"/>
  <c r="I242" i="29"/>
  <c r="J242" i="29"/>
  <c r="K242" i="29"/>
  <c r="E242" i="29"/>
  <c r="H242" i="29"/>
  <c r="O242" i="29"/>
  <c r="D226" i="29"/>
  <c r="F226" i="29"/>
  <c r="G226" i="29"/>
  <c r="H226" i="29"/>
  <c r="J226" i="29"/>
  <c r="K226" i="29"/>
  <c r="E226" i="29"/>
  <c r="I226" i="29"/>
  <c r="O226" i="29"/>
  <c r="J210" i="29"/>
  <c r="K210" i="29"/>
  <c r="G210" i="29"/>
  <c r="E210" i="29"/>
  <c r="H210" i="29"/>
  <c r="I210" i="29"/>
  <c r="D210" i="29"/>
  <c r="F210" i="29"/>
  <c r="O210" i="29"/>
  <c r="J194" i="29"/>
  <c r="K194" i="29"/>
  <c r="G194" i="29"/>
  <c r="E194" i="29"/>
  <c r="H194" i="29"/>
  <c r="I194" i="29"/>
  <c r="D194" i="29"/>
  <c r="F194" i="29"/>
  <c r="J178" i="29"/>
  <c r="K178" i="29"/>
  <c r="D178" i="29"/>
  <c r="G178" i="29"/>
  <c r="E178" i="29"/>
  <c r="F178" i="29"/>
  <c r="H178" i="29"/>
  <c r="I178" i="29"/>
  <c r="O178" i="29"/>
  <c r="I162" i="29"/>
  <c r="J162" i="29"/>
  <c r="K162" i="29"/>
  <c r="D162" i="29"/>
  <c r="G162" i="29"/>
  <c r="F162" i="29"/>
  <c r="H162" i="29"/>
  <c r="O162" i="29"/>
  <c r="E162" i="29"/>
  <c r="I147" i="29"/>
  <c r="J147" i="29"/>
  <c r="K147" i="29"/>
  <c r="D147" i="29"/>
  <c r="G147" i="29"/>
  <c r="F147" i="29"/>
  <c r="H147" i="29"/>
  <c r="E147" i="29"/>
  <c r="I131" i="29"/>
  <c r="J131" i="29"/>
  <c r="K131" i="29"/>
  <c r="D131" i="29"/>
  <c r="G131" i="29"/>
  <c r="F131" i="29"/>
  <c r="H131" i="29"/>
  <c r="E131" i="29"/>
  <c r="O131" i="29"/>
  <c r="I115" i="29"/>
  <c r="J115" i="29"/>
  <c r="K115" i="29"/>
  <c r="D115" i="29"/>
  <c r="E115" i="29"/>
  <c r="G115" i="29"/>
  <c r="F115" i="29"/>
  <c r="H115" i="29"/>
  <c r="I99" i="29"/>
  <c r="J99" i="29"/>
  <c r="K99" i="29"/>
  <c r="D99" i="29"/>
  <c r="E99" i="29"/>
  <c r="G99" i="29"/>
  <c r="F99" i="29"/>
  <c r="H99" i="29"/>
  <c r="O99" i="29"/>
  <c r="I83" i="29"/>
  <c r="J83" i="29"/>
  <c r="K83" i="29"/>
  <c r="D83" i="29"/>
  <c r="E83" i="29"/>
  <c r="G83" i="29"/>
  <c r="F83" i="29"/>
  <c r="H83" i="29"/>
  <c r="O83" i="29"/>
  <c r="J71" i="29"/>
  <c r="K71" i="29"/>
  <c r="D71" i="29"/>
  <c r="E71" i="29"/>
  <c r="G71" i="29"/>
  <c r="O71" i="29"/>
  <c r="F71" i="29"/>
  <c r="H71" i="29"/>
  <c r="I71" i="29"/>
  <c r="I67" i="29"/>
  <c r="J67" i="29"/>
  <c r="K67" i="29"/>
  <c r="D67" i="29"/>
  <c r="E67" i="29"/>
  <c r="G67" i="29"/>
  <c r="F67" i="29"/>
  <c r="H67" i="29"/>
  <c r="O67" i="29"/>
  <c r="I55" i="29"/>
  <c r="J55" i="29"/>
  <c r="K55" i="29"/>
  <c r="D55" i="29"/>
  <c r="E55" i="29"/>
  <c r="G55" i="29"/>
  <c r="F55" i="29"/>
  <c r="H55" i="29"/>
  <c r="O55" i="29"/>
  <c r="F51" i="29"/>
  <c r="G51" i="29"/>
  <c r="H51" i="29"/>
  <c r="I51" i="29"/>
  <c r="J51" i="29"/>
  <c r="D51" i="29"/>
  <c r="E51" i="29"/>
  <c r="K51" i="29"/>
  <c r="O51" i="29"/>
  <c r="F35" i="29"/>
  <c r="G35" i="29"/>
  <c r="H35" i="29"/>
  <c r="I35" i="29"/>
  <c r="J35" i="29"/>
  <c r="D35" i="29"/>
  <c r="E35" i="29"/>
  <c r="O35" i="29"/>
  <c r="K35" i="29"/>
  <c r="F25" i="29"/>
  <c r="G25" i="29"/>
  <c r="H25" i="29"/>
  <c r="I25" i="29"/>
  <c r="J25" i="29"/>
  <c r="D25" i="29"/>
  <c r="E25" i="29"/>
  <c r="K25" i="29"/>
  <c r="O25" i="29"/>
  <c r="F21" i="29"/>
  <c r="G21" i="29"/>
  <c r="H21" i="29"/>
  <c r="I21" i="29"/>
  <c r="J21" i="29"/>
  <c r="D21" i="29"/>
  <c r="E21" i="29"/>
  <c r="K21" i="29"/>
  <c r="O21" i="29"/>
  <c r="F9" i="29"/>
  <c r="G9" i="29"/>
  <c r="H9" i="29"/>
  <c r="I9" i="29"/>
  <c r="J9" i="29"/>
  <c r="D9" i="29"/>
  <c r="E9" i="29"/>
  <c r="K9" i="29"/>
  <c r="J138" i="29"/>
  <c r="K138" i="29"/>
  <c r="D138" i="29"/>
  <c r="G138" i="29"/>
  <c r="H138" i="29"/>
  <c r="E138" i="29"/>
  <c r="F138" i="29"/>
  <c r="O138" i="29"/>
  <c r="I138" i="29"/>
  <c r="K172" i="29"/>
  <c r="D172" i="29"/>
  <c r="G172" i="29"/>
  <c r="E172" i="29"/>
  <c r="F172" i="29"/>
  <c r="I172" i="29"/>
  <c r="O172" i="29"/>
  <c r="H172" i="29"/>
  <c r="J172" i="29"/>
  <c r="F268" i="29"/>
  <c r="G268" i="29"/>
  <c r="H268" i="29"/>
  <c r="I268" i="29"/>
  <c r="J268" i="29"/>
  <c r="K268" i="29"/>
  <c r="D268" i="29"/>
  <c r="E268" i="29"/>
  <c r="D251" i="29"/>
  <c r="G251" i="29"/>
  <c r="H251" i="29"/>
  <c r="I251" i="29"/>
  <c r="J251" i="29"/>
  <c r="K251" i="29"/>
  <c r="E251" i="29"/>
  <c r="F251" i="29"/>
  <c r="O251" i="29"/>
  <c r="J135" i="29"/>
  <c r="K135" i="29"/>
  <c r="D135" i="29"/>
  <c r="G135" i="29"/>
  <c r="E135" i="29"/>
  <c r="F135" i="29"/>
  <c r="I135" i="29"/>
  <c r="H135" i="29"/>
  <c r="O135" i="29"/>
  <c r="G294" i="29"/>
  <c r="H294" i="29"/>
  <c r="I294" i="29"/>
  <c r="J294" i="29"/>
  <c r="K294" i="29"/>
  <c r="D294" i="29"/>
  <c r="E294" i="29"/>
  <c r="F294" i="29"/>
  <c r="G279" i="29"/>
  <c r="H279" i="29"/>
  <c r="I279" i="29"/>
  <c r="J279" i="29"/>
  <c r="D279" i="29"/>
  <c r="K279" i="29"/>
  <c r="E279" i="29"/>
  <c r="F279" i="29"/>
  <c r="G263" i="29"/>
  <c r="H263" i="29"/>
  <c r="I263" i="29"/>
  <c r="J263" i="29"/>
  <c r="K263" i="29"/>
  <c r="D263" i="29"/>
  <c r="E263" i="29"/>
  <c r="O263" i="29"/>
  <c r="F263" i="29"/>
  <c r="E249" i="29"/>
  <c r="F249" i="29"/>
  <c r="G249" i="29"/>
  <c r="H249" i="29"/>
  <c r="I249" i="29"/>
  <c r="J249" i="29"/>
  <c r="K249" i="29"/>
  <c r="D249" i="29"/>
  <c r="O249" i="29"/>
  <c r="F233" i="29"/>
  <c r="G233" i="29"/>
  <c r="H233" i="29"/>
  <c r="E233" i="29"/>
  <c r="I233" i="29"/>
  <c r="J233" i="29"/>
  <c r="K233" i="29"/>
  <c r="D233" i="29"/>
  <c r="O233" i="29"/>
  <c r="F217" i="29"/>
  <c r="G217" i="29"/>
  <c r="H217" i="29"/>
  <c r="I217" i="29"/>
  <c r="E217" i="29"/>
  <c r="J217" i="29"/>
  <c r="K217" i="29"/>
  <c r="O217" i="29"/>
  <c r="D217" i="29"/>
  <c r="K185" i="29"/>
  <c r="G185" i="29"/>
  <c r="D185" i="29"/>
  <c r="E185" i="29"/>
  <c r="F185" i="29"/>
  <c r="H185" i="29"/>
  <c r="I185" i="29"/>
  <c r="J185" i="29"/>
  <c r="O185" i="29"/>
  <c r="K169" i="29"/>
  <c r="D169" i="29"/>
  <c r="G169" i="29"/>
  <c r="E169" i="29"/>
  <c r="H169" i="29"/>
  <c r="I169" i="29"/>
  <c r="F169" i="29"/>
  <c r="J169" i="29"/>
  <c r="O169" i="29"/>
  <c r="J154" i="29"/>
  <c r="K154" i="29"/>
  <c r="D154" i="29"/>
  <c r="G154" i="29"/>
  <c r="H154" i="29"/>
  <c r="F154" i="29"/>
  <c r="E154" i="29"/>
  <c r="O154" i="29"/>
  <c r="I154" i="29"/>
  <c r="I126" i="29"/>
  <c r="J126" i="29"/>
  <c r="K126" i="29"/>
  <c r="D126" i="29"/>
  <c r="G126" i="29"/>
  <c r="E126" i="29"/>
  <c r="F126" i="29"/>
  <c r="H126" i="29"/>
  <c r="O126" i="29"/>
  <c r="J122" i="29"/>
  <c r="K122" i="29"/>
  <c r="D122" i="29"/>
  <c r="G122" i="29"/>
  <c r="H122" i="29"/>
  <c r="E122" i="29"/>
  <c r="F122" i="29"/>
  <c r="I122" i="29"/>
  <c r="J106" i="29"/>
  <c r="K106" i="29"/>
  <c r="D106" i="29"/>
  <c r="E106" i="29"/>
  <c r="G106" i="29"/>
  <c r="F106" i="29"/>
  <c r="H106" i="29"/>
  <c r="I106" i="29"/>
  <c r="J90" i="29"/>
  <c r="K90" i="29"/>
  <c r="D90" i="29"/>
  <c r="E90" i="29"/>
  <c r="G90" i="29"/>
  <c r="F90" i="29"/>
  <c r="H90" i="29"/>
  <c r="O90" i="29"/>
  <c r="I90" i="29"/>
  <c r="J74" i="29"/>
  <c r="K74" i="29"/>
  <c r="D74" i="29"/>
  <c r="E74" i="29"/>
  <c r="G74" i="29"/>
  <c r="F74" i="29"/>
  <c r="H74" i="29"/>
  <c r="O74" i="29"/>
  <c r="I74" i="29"/>
  <c r="J58" i="29"/>
  <c r="K58" i="29"/>
  <c r="D58" i="29"/>
  <c r="E58" i="29"/>
  <c r="G58" i="29"/>
  <c r="F58" i="29"/>
  <c r="H58" i="29"/>
  <c r="I58" i="29"/>
  <c r="O58" i="29"/>
  <c r="G42" i="29"/>
  <c r="H42" i="29"/>
  <c r="I42" i="29"/>
  <c r="J42" i="29"/>
  <c r="D42" i="29"/>
  <c r="E42" i="29"/>
  <c r="K42" i="29"/>
  <c r="F42" i="29"/>
  <c r="O42" i="29"/>
  <c r="G28" i="29"/>
  <c r="H28" i="29"/>
  <c r="I28" i="29"/>
  <c r="J28" i="29"/>
  <c r="D28" i="29"/>
  <c r="E28" i="29"/>
  <c r="K28" i="29"/>
  <c r="O28" i="29"/>
  <c r="F28" i="29"/>
  <c r="G12" i="29"/>
  <c r="H12" i="29"/>
  <c r="I12" i="29"/>
  <c r="J12" i="29"/>
  <c r="D12" i="29"/>
  <c r="E12" i="29"/>
  <c r="K12" i="29"/>
  <c r="O12" i="29"/>
  <c r="F12" i="29"/>
  <c r="G282" i="29"/>
  <c r="O282" i="29"/>
  <c r="H282" i="29"/>
  <c r="I282" i="29"/>
  <c r="J282" i="29"/>
  <c r="K282" i="29"/>
  <c r="D282" i="29"/>
  <c r="E282" i="29"/>
  <c r="F282" i="29"/>
  <c r="H252" i="29"/>
  <c r="I252" i="29"/>
  <c r="J252" i="29"/>
  <c r="K252" i="29"/>
  <c r="O252" i="29"/>
  <c r="E252" i="29"/>
  <c r="F252" i="29"/>
  <c r="G252" i="29"/>
  <c r="D252" i="29"/>
  <c r="K204" i="29"/>
  <c r="G204" i="29"/>
  <c r="O204" i="29"/>
  <c r="E204" i="29"/>
  <c r="F204" i="29"/>
  <c r="H204" i="29"/>
  <c r="I204" i="29"/>
  <c r="D204" i="29"/>
  <c r="J204" i="29"/>
  <c r="J157" i="29"/>
  <c r="K157" i="29"/>
  <c r="D157" i="29"/>
  <c r="G157" i="29"/>
  <c r="F157" i="29"/>
  <c r="E157" i="29"/>
  <c r="H157" i="29"/>
  <c r="O157" i="29"/>
  <c r="I157" i="29"/>
  <c r="G15" i="29"/>
  <c r="O15" i="29"/>
  <c r="H15" i="29"/>
  <c r="I15" i="29"/>
  <c r="J15" i="29"/>
  <c r="D15" i="29"/>
  <c r="E15" i="29"/>
  <c r="K15" i="29"/>
  <c r="F15" i="29"/>
  <c r="F259" i="29"/>
  <c r="G259" i="29"/>
  <c r="H259" i="29"/>
  <c r="I259" i="29"/>
  <c r="J259" i="29"/>
  <c r="D259" i="29"/>
  <c r="K259" i="29"/>
  <c r="O259" i="29"/>
  <c r="E259" i="29"/>
  <c r="I148" i="29"/>
  <c r="J148" i="29"/>
  <c r="K148" i="29"/>
  <c r="D148" i="29"/>
  <c r="G148" i="29"/>
  <c r="E148" i="29"/>
  <c r="F148" i="29"/>
  <c r="H148" i="29"/>
  <c r="G36" i="29"/>
  <c r="H36" i="29"/>
  <c r="I36" i="29"/>
  <c r="O36" i="29"/>
  <c r="J36" i="29"/>
  <c r="D36" i="29"/>
  <c r="E36" i="29"/>
  <c r="K36" i="29"/>
  <c r="F36" i="29"/>
  <c r="F284" i="29"/>
  <c r="G284" i="29"/>
  <c r="H284" i="29"/>
  <c r="I284" i="29"/>
  <c r="J284" i="29"/>
  <c r="K284" i="29"/>
  <c r="D284" i="29"/>
  <c r="E284" i="29"/>
  <c r="J111" i="29"/>
  <c r="K111" i="29"/>
  <c r="D111" i="29"/>
  <c r="E111" i="29"/>
  <c r="G111" i="29"/>
  <c r="F111" i="29"/>
  <c r="I111" i="29"/>
  <c r="H111" i="29"/>
  <c r="F33" i="29"/>
  <c r="G33" i="29"/>
  <c r="H33" i="29"/>
  <c r="I33" i="29"/>
  <c r="J33" i="29"/>
  <c r="D33" i="29"/>
  <c r="E33" i="29"/>
  <c r="K33" i="29"/>
  <c r="O33" i="29"/>
  <c r="G290" i="29"/>
  <c r="H290" i="29"/>
  <c r="I290" i="29"/>
  <c r="J290" i="29"/>
  <c r="D290" i="29"/>
  <c r="K290" i="29"/>
  <c r="E290" i="29"/>
  <c r="O290" i="29"/>
  <c r="F290" i="29"/>
  <c r="G274" i="29"/>
  <c r="H274" i="29"/>
  <c r="O274" i="29"/>
  <c r="I274" i="29"/>
  <c r="J274" i="29"/>
  <c r="K274" i="29"/>
  <c r="D274" i="29"/>
  <c r="E274" i="29"/>
  <c r="F274" i="29"/>
  <c r="G260" i="29"/>
  <c r="H260" i="29"/>
  <c r="I260" i="29"/>
  <c r="O260" i="29"/>
  <c r="J260" i="29"/>
  <c r="K260" i="29"/>
  <c r="D260" i="29"/>
  <c r="E260" i="29"/>
  <c r="F260" i="29"/>
  <c r="F244" i="29"/>
  <c r="G244" i="29"/>
  <c r="E244" i="29"/>
  <c r="H244" i="29"/>
  <c r="I244" i="29"/>
  <c r="O244" i="29"/>
  <c r="J244" i="29"/>
  <c r="K244" i="29"/>
  <c r="D244" i="29"/>
  <c r="F228" i="29"/>
  <c r="G228" i="29"/>
  <c r="H228" i="29"/>
  <c r="J228" i="29"/>
  <c r="K228" i="29"/>
  <c r="E228" i="29"/>
  <c r="I228" i="29"/>
  <c r="O228" i="29"/>
  <c r="D228" i="29"/>
  <c r="E212" i="29"/>
  <c r="O212" i="29"/>
  <c r="F212" i="29"/>
  <c r="H212" i="29"/>
  <c r="I212" i="29"/>
  <c r="K212" i="29"/>
  <c r="D212" i="29"/>
  <c r="J212" i="29"/>
  <c r="G212" i="29"/>
  <c r="K196" i="29"/>
  <c r="G196" i="29"/>
  <c r="E196" i="29"/>
  <c r="O196" i="29"/>
  <c r="F196" i="29"/>
  <c r="H196" i="29"/>
  <c r="I196" i="29"/>
  <c r="D196" i="29"/>
  <c r="J196" i="29"/>
  <c r="K180" i="29"/>
  <c r="D180" i="29"/>
  <c r="G180" i="29"/>
  <c r="E180" i="29"/>
  <c r="F180" i="29"/>
  <c r="O180" i="29"/>
  <c r="H180" i="29"/>
  <c r="I180" i="29"/>
  <c r="J180" i="29"/>
  <c r="J164" i="29"/>
  <c r="K164" i="29"/>
  <c r="D164" i="29"/>
  <c r="G164" i="29"/>
  <c r="F164" i="29"/>
  <c r="E164" i="29"/>
  <c r="H164" i="29"/>
  <c r="O164" i="29"/>
  <c r="I164" i="29"/>
  <c r="J149" i="29"/>
  <c r="O149" i="29"/>
  <c r="K149" i="29"/>
  <c r="D149" i="29"/>
  <c r="G149" i="29"/>
  <c r="F149" i="29"/>
  <c r="E149" i="29"/>
  <c r="H149" i="29"/>
  <c r="I149" i="29"/>
  <c r="J133" i="29"/>
  <c r="K133" i="29"/>
  <c r="D133" i="29"/>
  <c r="O133" i="29"/>
  <c r="G133" i="29"/>
  <c r="F133" i="29"/>
  <c r="E133" i="29"/>
  <c r="H133" i="29"/>
  <c r="I133" i="29"/>
  <c r="J117" i="29"/>
  <c r="K117" i="29"/>
  <c r="D117" i="29"/>
  <c r="E117" i="29"/>
  <c r="O117" i="29"/>
  <c r="G117" i="29"/>
  <c r="F117" i="29"/>
  <c r="H117" i="29"/>
  <c r="I117" i="29"/>
  <c r="J101" i="29"/>
  <c r="K101" i="29"/>
  <c r="D101" i="29"/>
  <c r="E101" i="29"/>
  <c r="G101" i="29"/>
  <c r="F101" i="29"/>
  <c r="O101" i="29"/>
  <c r="H101" i="29"/>
  <c r="I101" i="29"/>
  <c r="J85" i="29"/>
  <c r="K85" i="29"/>
  <c r="D85" i="29"/>
  <c r="E85" i="29"/>
  <c r="G85" i="29"/>
  <c r="F85" i="29"/>
  <c r="H85" i="29"/>
  <c r="I85" i="29"/>
  <c r="O85" i="29"/>
  <c r="J69" i="29"/>
  <c r="K69" i="29"/>
  <c r="O69" i="29"/>
  <c r="D69" i="29"/>
  <c r="E69" i="29"/>
  <c r="G69" i="29"/>
  <c r="F69" i="29"/>
  <c r="H69" i="29"/>
  <c r="I69" i="29"/>
  <c r="G53" i="29"/>
  <c r="H53" i="29"/>
  <c r="I53" i="29"/>
  <c r="J53" i="29"/>
  <c r="O53" i="29"/>
  <c r="D53" i="29"/>
  <c r="E53" i="29"/>
  <c r="K53" i="29"/>
  <c r="F53" i="29"/>
  <c r="G37" i="29"/>
  <c r="H37" i="29"/>
  <c r="I37" i="29"/>
  <c r="J37" i="29"/>
  <c r="D37" i="29"/>
  <c r="E37" i="29"/>
  <c r="O37" i="29"/>
  <c r="K37" i="29"/>
  <c r="F37" i="29"/>
  <c r="G23" i="29"/>
  <c r="H23" i="29"/>
  <c r="I23" i="29"/>
  <c r="J23" i="29"/>
  <c r="D23" i="29"/>
  <c r="E23" i="29"/>
  <c r="K23" i="29"/>
  <c r="F23" i="29"/>
  <c r="O23" i="29"/>
  <c r="F296" i="29"/>
  <c r="G296" i="29"/>
  <c r="H296" i="29"/>
  <c r="I296" i="29"/>
  <c r="J296" i="29"/>
  <c r="K296" i="29"/>
  <c r="D296" i="29"/>
  <c r="O296" i="29"/>
  <c r="E296" i="29"/>
  <c r="F281" i="29"/>
  <c r="G281" i="29"/>
  <c r="H281" i="29"/>
  <c r="I281" i="29"/>
  <c r="J281" i="29"/>
  <c r="D281" i="29"/>
  <c r="K281" i="29"/>
  <c r="E281" i="29"/>
  <c r="O281" i="29"/>
  <c r="F265" i="29"/>
  <c r="G265" i="29"/>
  <c r="H265" i="29"/>
  <c r="I265" i="29"/>
  <c r="J265" i="29"/>
  <c r="D265" i="29"/>
  <c r="K265" i="29"/>
  <c r="E265" i="29"/>
  <c r="D235" i="29"/>
  <c r="F235" i="29"/>
  <c r="G235" i="29"/>
  <c r="E235" i="29"/>
  <c r="H235" i="29"/>
  <c r="J235" i="29"/>
  <c r="I235" i="29"/>
  <c r="K235" i="29"/>
  <c r="O235" i="29"/>
  <c r="F219" i="29"/>
  <c r="G219" i="29"/>
  <c r="H219" i="29"/>
  <c r="I219" i="29"/>
  <c r="E219" i="29"/>
  <c r="J219" i="29"/>
  <c r="D219" i="29"/>
  <c r="O219" i="29"/>
  <c r="K219" i="29"/>
  <c r="K203" i="29"/>
  <c r="G203" i="29"/>
  <c r="O203" i="29"/>
  <c r="I203" i="29"/>
  <c r="D203" i="29"/>
  <c r="E203" i="29"/>
  <c r="H203" i="29"/>
  <c r="F203" i="29"/>
  <c r="J203" i="29"/>
  <c r="K171" i="29"/>
  <c r="D171" i="29"/>
  <c r="G171" i="29"/>
  <c r="E171" i="29"/>
  <c r="O171" i="29"/>
  <c r="H171" i="29"/>
  <c r="I171" i="29"/>
  <c r="F171" i="29"/>
  <c r="J171" i="29"/>
  <c r="I156" i="29"/>
  <c r="J156" i="29"/>
  <c r="K156" i="29"/>
  <c r="D156" i="29"/>
  <c r="G156" i="29"/>
  <c r="E156" i="29"/>
  <c r="F156" i="29"/>
  <c r="H156" i="29"/>
  <c r="O156" i="29"/>
  <c r="J140" i="29"/>
  <c r="K140" i="29"/>
  <c r="D140" i="29"/>
  <c r="G140" i="29"/>
  <c r="E140" i="29"/>
  <c r="F140" i="29"/>
  <c r="O140" i="29"/>
  <c r="H140" i="29"/>
  <c r="I140" i="29"/>
  <c r="I124" i="29"/>
  <c r="J124" i="29"/>
  <c r="K124" i="29"/>
  <c r="D124" i="29"/>
  <c r="G124" i="29"/>
  <c r="E124" i="29"/>
  <c r="F124" i="29"/>
  <c r="H124" i="29"/>
  <c r="I108" i="29"/>
  <c r="J108" i="29"/>
  <c r="K108" i="29"/>
  <c r="D108" i="29"/>
  <c r="E108" i="29"/>
  <c r="G108" i="29"/>
  <c r="F108" i="29"/>
  <c r="H108" i="29"/>
  <c r="I92" i="29"/>
  <c r="J92" i="29"/>
  <c r="K92" i="29"/>
  <c r="D92" i="29"/>
  <c r="E92" i="29"/>
  <c r="G92" i="29"/>
  <c r="F92" i="29"/>
  <c r="H92" i="29"/>
  <c r="O92" i="29"/>
  <c r="J76" i="29"/>
  <c r="K76" i="29"/>
  <c r="D76" i="29"/>
  <c r="E76" i="29"/>
  <c r="G76" i="29"/>
  <c r="F76" i="29"/>
  <c r="H76" i="29"/>
  <c r="I76" i="29"/>
  <c r="O76" i="29"/>
  <c r="J60" i="29"/>
  <c r="K60" i="29"/>
  <c r="D60" i="29"/>
  <c r="E60" i="29"/>
  <c r="G60" i="29"/>
  <c r="F60" i="29"/>
  <c r="H60" i="29"/>
  <c r="I60" i="29"/>
  <c r="O60" i="29"/>
  <c r="G44" i="29"/>
  <c r="H44" i="29"/>
  <c r="O44" i="29"/>
  <c r="I44" i="29"/>
  <c r="J44" i="29"/>
  <c r="D44" i="29"/>
  <c r="E44" i="29"/>
  <c r="K44" i="29"/>
  <c r="F44" i="29"/>
  <c r="F30" i="29"/>
  <c r="G30" i="29"/>
  <c r="H30" i="29"/>
  <c r="I30" i="29"/>
  <c r="J30" i="29"/>
  <c r="D30" i="29"/>
  <c r="E30" i="29"/>
  <c r="K30" i="29"/>
  <c r="O30" i="29"/>
  <c r="F14" i="29"/>
  <c r="G14" i="29"/>
  <c r="H14" i="29"/>
  <c r="I14" i="29"/>
  <c r="J14" i="29"/>
  <c r="D14" i="29"/>
  <c r="E14" i="29"/>
  <c r="O14" i="29"/>
  <c r="K14" i="29"/>
  <c r="F292" i="29"/>
  <c r="G292" i="29"/>
  <c r="H292" i="29"/>
  <c r="I292" i="29"/>
  <c r="J292" i="29"/>
  <c r="D292" i="29"/>
  <c r="K292" i="29"/>
  <c r="E292" i="29"/>
  <c r="O292" i="29"/>
  <c r="F276" i="29"/>
  <c r="G276" i="29"/>
  <c r="H276" i="29"/>
  <c r="I276" i="29"/>
  <c r="J276" i="29"/>
  <c r="K276" i="29"/>
  <c r="D276" i="29"/>
  <c r="O276" i="29"/>
  <c r="E276" i="29"/>
  <c r="F262" i="29"/>
  <c r="G262" i="29"/>
  <c r="H262" i="29"/>
  <c r="I262" i="29"/>
  <c r="J262" i="29"/>
  <c r="D262" i="29"/>
  <c r="K262" i="29"/>
  <c r="E262" i="29"/>
  <c r="O262" i="29"/>
  <c r="J246" i="29"/>
  <c r="K246" i="29"/>
  <c r="E246" i="29"/>
  <c r="F246" i="29"/>
  <c r="G246" i="29"/>
  <c r="H246" i="29"/>
  <c r="O246" i="29"/>
  <c r="D246" i="29"/>
  <c r="I246" i="29"/>
  <c r="F230" i="29"/>
  <c r="G230" i="29"/>
  <c r="H230" i="29"/>
  <c r="J230" i="29"/>
  <c r="K230" i="29"/>
  <c r="E230" i="29"/>
  <c r="O230" i="29"/>
  <c r="D230" i="29"/>
  <c r="I230" i="29"/>
  <c r="D214" i="29"/>
  <c r="F214" i="29"/>
  <c r="G214" i="29"/>
  <c r="H214" i="29"/>
  <c r="I214" i="29"/>
  <c r="E214" i="29"/>
  <c r="K214" i="29"/>
  <c r="O214" i="29"/>
  <c r="J214" i="29"/>
  <c r="J198" i="29"/>
  <c r="K198" i="29"/>
  <c r="G198" i="29"/>
  <c r="D198" i="29"/>
  <c r="E198" i="29"/>
  <c r="F198" i="29"/>
  <c r="H198" i="29"/>
  <c r="I198" i="29"/>
  <c r="O198" i="29"/>
  <c r="J182" i="29"/>
  <c r="K182" i="29"/>
  <c r="D182" i="29"/>
  <c r="G182" i="29"/>
  <c r="E182" i="29"/>
  <c r="F182" i="29"/>
  <c r="I182" i="29"/>
  <c r="O182" i="29"/>
  <c r="H182" i="29"/>
  <c r="J166" i="29"/>
  <c r="K166" i="29"/>
  <c r="D166" i="29"/>
  <c r="O166" i="29"/>
  <c r="G166" i="29"/>
  <c r="E166" i="29"/>
  <c r="F166" i="29"/>
  <c r="H166" i="29"/>
  <c r="I166" i="29"/>
  <c r="J151" i="29"/>
  <c r="K151" i="29"/>
  <c r="D151" i="29"/>
  <c r="G151" i="29"/>
  <c r="E151" i="29"/>
  <c r="O151" i="29"/>
  <c r="F151" i="29"/>
  <c r="H151" i="29"/>
  <c r="I151" i="29"/>
  <c r="I119" i="29"/>
  <c r="J119" i="29"/>
  <c r="K119" i="29"/>
  <c r="D119" i="29"/>
  <c r="E119" i="29"/>
  <c r="G119" i="29"/>
  <c r="F119" i="29"/>
  <c r="H119" i="29"/>
  <c r="O119" i="29"/>
  <c r="I103" i="29"/>
  <c r="J103" i="29"/>
  <c r="K103" i="29"/>
  <c r="D103" i="29"/>
  <c r="E103" i="29"/>
  <c r="G103" i="29"/>
  <c r="F103" i="29"/>
  <c r="O103" i="29"/>
  <c r="H103" i="29"/>
  <c r="J87" i="29"/>
  <c r="K87" i="29"/>
  <c r="D87" i="29"/>
  <c r="E87" i="29"/>
  <c r="G87" i="29"/>
  <c r="F87" i="29"/>
  <c r="O87" i="29"/>
  <c r="I87" i="29"/>
  <c r="H87" i="29"/>
  <c r="G39" i="29"/>
  <c r="H39" i="29"/>
  <c r="I39" i="29"/>
  <c r="J39" i="29"/>
  <c r="D39" i="29"/>
  <c r="E39" i="29"/>
  <c r="K39" i="29"/>
  <c r="O39" i="29"/>
  <c r="F39" i="29"/>
  <c r="I78" i="29"/>
  <c r="J78" i="29"/>
  <c r="K78" i="29"/>
  <c r="D78" i="29"/>
  <c r="E78" i="29"/>
  <c r="G78" i="29"/>
  <c r="F78" i="29"/>
  <c r="H78" i="29"/>
  <c r="O78" i="29"/>
  <c r="I62" i="29"/>
  <c r="J62" i="29"/>
  <c r="K62" i="29"/>
  <c r="D62" i="29"/>
  <c r="E62" i="29"/>
  <c r="G62" i="29"/>
  <c r="F62" i="29"/>
  <c r="O62" i="29"/>
  <c r="H62" i="29"/>
  <c r="F236" i="29"/>
  <c r="G236" i="29"/>
  <c r="E236" i="29"/>
  <c r="H236" i="29"/>
  <c r="I236" i="29"/>
  <c r="J236" i="29"/>
  <c r="O236" i="29"/>
  <c r="K236" i="29"/>
  <c r="D236" i="29"/>
  <c r="J125" i="29"/>
  <c r="K125" i="29"/>
  <c r="D125" i="29"/>
  <c r="G125" i="29"/>
  <c r="F125" i="29"/>
  <c r="H125" i="29"/>
  <c r="E125" i="29"/>
  <c r="I125" i="29"/>
  <c r="J77" i="29"/>
  <c r="O77" i="29"/>
  <c r="K77" i="29"/>
  <c r="D77" i="29"/>
  <c r="E77" i="29"/>
  <c r="G77" i="29"/>
  <c r="F77" i="29"/>
  <c r="H77" i="29"/>
  <c r="I77" i="29"/>
  <c r="I68" i="29"/>
  <c r="J68" i="29"/>
  <c r="K68" i="29"/>
  <c r="D68" i="29"/>
  <c r="E68" i="29"/>
  <c r="G68" i="29"/>
  <c r="F68" i="29"/>
  <c r="O68" i="29"/>
  <c r="H68" i="29"/>
  <c r="D254" i="29"/>
  <c r="J254" i="29"/>
  <c r="K254" i="29"/>
  <c r="E254" i="29"/>
  <c r="F254" i="29"/>
  <c r="H254" i="29"/>
  <c r="G254" i="29"/>
  <c r="I254" i="29"/>
  <c r="O254" i="29"/>
  <c r="I127" i="29"/>
  <c r="J127" i="29"/>
  <c r="K127" i="29"/>
  <c r="D127" i="29"/>
  <c r="G127" i="29"/>
  <c r="E127" i="29"/>
  <c r="F127" i="29"/>
  <c r="H127" i="29"/>
  <c r="O127" i="29"/>
  <c r="I95" i="29"/>
  <c r="J95" i="29"/>
  <c r="K95" i="29"/>
  <c r="D95" i="29"/>
  <c r="E95" i="29"/>
  <c r="G95" i="29"/>
  <c r="H95" i="29"/>
  <c r="O95" i="29"/>
  <c r="F95" i="29"/>
  <c r="K207" i="29"/>
  <c r="G207" i="29"/>
  <c r="D207" i="29"/>
  <c r="F207" i="29"/>
  <c r="H207" i="29"/>
  <c r="I207" i="29"/>
  <c r="E207" i="29"/>
  <c r="J207" i="29"/>
  <c r="O207" i="29"/>
  <c r="J144" i="29"/>
  <c r="K144" i="29"/>
  <c r="D144" i="29"/>
  <c r="G144" i="29"/>
  <c r="E144" i="29"/>
  <c r="H144" i="29"/>
  <c r="F144" i="29"/>
  <c r="I144" i="29"/>
  <c r="F298" i="29"/>
  <c r="G298" i="29"/>
  <c r="H298" i="29"/>
  <c r="I298" i="29"/>
  <c r="J298" i="29"/>
  <c r="K298" i="29"/>
  <c r="D298" i="29"/>
  <c r="E298" i="29"/>
  <c r="O298" i="29"/>
  <c r="F283" i="29"/>
  <c r="G283" i="29"/>
  <c r="H283" i="29"/>
  <c r="I283" i="29"/>
  <c r="J283" i="29"/>
  <c r="D283" i="29"/>
  <c r="K283" i="29"/>
  <c r="E283" i="29"/>
  <c r="O283" i="29"/>
  <c r="F267" i="29"/>
  <c r="G267" i="29"/>
  <c r="H267" i="29"/>
  <c r="I267" i="29"/>
  <c r="J267" i="29"/>
  <c r="D267" i="29"/>
  <c r="K267" i="29"/>
  <c r="E267" i="29"/>
  <c r="D253" i="29"/>
  <c r="I253" i="29"/>
  <c r="J253" i="29"/>
  <c r="K253" i="29"/>
  <c r="E253" i="29"/>
  <c r="F253" i="29"/>
  <c r="G253" i="29"/>
  <c r="H253" i="29"/>
  <c r="O253" i="29"/>
  <c r="D237" i="29"/>
  <c r="F237" i="29"/>
  <c r="G237" i="29"/>
  <c r="J237" i="29"/>
  <c r="K237" i="29"/>
  <c r="E237" i="29"/>
  <c r="H237" i="29"/>
  <c r="I237" i="29"/>
  <c r="O237" i="29"/>
  <c r="D221" i="29"/>
  <c r="F221" i="29"/>
  <c r="G221" i="29"/>
  <c r="H221" i="29"/>
  <c r="E221" i="29"/>
  <c r="I221" i="29"/>
  <c r="J221" i="29"/>
  <c r="K221" i="29"/>
  <c r="O221" i="29"/>
  <c r="J205" i="29"/>
  <c r="K205" i="29"/>
  <c r="G205" i="29"/>
  <c r="F205" i="29"/>
  <c r="I205" i="29"/>
  <c r="D205" i="29"/>
  <c r="E205" i="29"/>
  <c r="H205" i="29"/>
  <c r="O205" i="29"/>
  <c r="J189" i="29"/>
  <c r="K189" i="29"/>
  <c r="G189" i="29"/>
  <c r="F189" i="29"/>
  <c r="I189" i="29"/>
  <c r="D189" i="29"/>
  <c r="E189" i="29"/>
  <c r="H189" i="29"/>
  <c r="O189" i="29"/>
  <c r="J173" i="29"/>
  <c r="K173" i="29"/>
  <c r="D173" i="29"/>
  <c r="G173" i="29"/>
  <c r="E173" i="29"/>
  <c r="H173" i="29"/>
  <c r="I173" i="29"/>
  <c r="F173" i="29"/>
  <c r="O173" i="29"/>
  <c r="I158" i="29"/>
  <c r="J158" i="29"/>
  <c r="K158" i="29"/>
  <c r="D158" i="29"/>
  <c r="G158" i="29"/>
  <c r="E158" i="29"/>
  <c r="F158" i="29"/>
  <c r="H158" i="29"/>
  <c r="O158" i="29"/>
  <c r="I142" i="29"/>
  <c r="J142" i="29"/>
  <c r="K142" i="29"/>
  <c r="D142" i="29"/>
  <c r="G142" i="29"/>
  <c r="E142" i="29"/>
  <c r="F142" i="29"/>
  <c r="H142" i="29"/>
  <c r="I110" i="29"/>
  <c r="J110" i="29"/>
  <c r="K110" i="29"/>
  <c r="D110" i="29"/>
  <c r="E110" i="29"/>
  <c r="G110" i="29"/>
  <c r="F110" i="29"/>
  <c r="H110" i="29"/>
  <c r="O110" i="29"/>
  <c r="I94" i="29"/>
  <c r="J94" i="29"/>
  <c r="K94" i="29"/>
  <c r="D94" i="29"/>
  <c r="E94" i="29"/>
  <c r="G94" i="29"/>
  <c r="F94" i="29"/>
  <c r="H94" i="29"/>
  <c r="O94" i="29"/>
  <c r="F46" i="29"/>
  <c r="G46" i="29"/>
  <c r="H46" i="29"/>
  <c r="I46" i="29"/>
  <c r="J46" i="29"/>
  <c r="D46" i="29"/>
  <c r="E46" i="29"/>
  <c r="K46" i="29"/>
  <c r="O46" i="29"/>
  <c r="F32" i="29"/>
  <c r="G32" i="29"/>
  <c r="H32" i="29"/>
  <c r="I32" i="29"/>
  <c r="J32" i="29"/>
  <c r="D32" i="29"/>
  <c r="E32" i="29"/>
  <c r="K32" i="29"/>
  <c r="O32" i="29"/>
  <c r="F16" i="29"/>
  <c r="G16" i="29"/>
  <c r="H16" i="29"/>
  <c r="I16" i="29"/>
  <c r="J16" i="29"/>
  <c r="D16" i="29"/>
  <c r="E16" i="29"/>
  <c r="K16" i="29"/>
  <c r="J141" i="29"/>
  <c r="K141" i="29"/>
  <c r="O141" i="29"/>
  <c r="D141" i="29"/>
  <c r="G141" i="29"/>
  <c r="F141" i="29"/>
  <c r="E141" i="29"/>
  <c r="H141" i="29"/>
  <c r="I141" i="29"/>
  <c r="J61" i="29"/>
  <c r="K61" i="29"/>
  <c r="D61" i="29"/>
  <c r="O61" i="29"/>
  <c r="E61" i="29"/>
  <c r="G61" i="29"/>
  <c r="F61" i="29"/>
  <c r="H61" i="29"/>
  <c r="I61" i="29"/>
  <c r="G31" i="29"/>
  <c r="H31" i="29"/>
  <c r="I31" i="29"/>
  <c r="J31" i="29"/>
  <c r="D31" i="29"/>
  <c r="E31" i="29"/>
  <c r="K31" i="29"/>
  <c r="O31" i="29"/>
  <c r="F31" i="29"/>
  <c r="I132" i="29"/>
  <c r="J132" i="29"/>
  <c r="K132" i="29"/>
  <c r="D132" i="29"/>
  <c r="G132" i="29"/>
  <c r="E132" i="29"/>
  <c r="F132" i="29"/>
  <c r="O132" i="29"/>
  <c r="H132" i="29"/>
  <c r="F22" i="29"/>
  <c r="G22" i="29"/>
  <c r="H22" i="29"/>
  <c r="I22" i="29"/>
  <c r="J22" i="29"/>
  <c r="D22" i="29"/>
  <c r="E22" i="29"/>
  <c r="K22" i="29"/>
  <c r="O22" i="29"/>
  <c r="J63" i="29"/>
  <c r="K63" i="29"/>
  <c r="D63" i="29"/>
  <c r="E63" i="29"/>
  <c r="G63" i="29"/>
  <c r="F63" i="29"/>
  <c r="O63" i="29"/>
  <c r="H63" i="29"/>
  <c r="I63" i="29"/>
  <c r="I118" i="29"/>
  <c r="J118" i="29"/>
  <c r="K118" i="29"/>
  <c r="D118" i="29"/>
  <c r="E118" i="29"/>
  <c r="G118" i="29"/>
  <c r="F118" i="29"/>
  <c r="H118" i="29"/>
  <c r="F278" i="29"/>
  <c r="G278" i="29"/>
  <c r="H278" i="29"/>
  <c r="I278" i="29"/>
  <c r="J278" i="29"/>
  <c r="K278" i="29"/>
  <c r="D278" i="29"/>
  <c r="O278" i="29"/>
  <c r="E278" i="29"/>
  <c r="D248" i="29"/>
  <c r="E248" i="29"/>
  <c r="F248" i="29"/>
  <c r="G248" i="29"/>
  <c r="H248" i="29"/>
  <c r="J248" i="29"/>
  <c r="I248" i="29"/>
  <c r="O248" i="29"/>
  <c r="K248" i="29"/>
  <c r="D232" i="29"/>
  <c r="F232" i="29"/>
  <c r="G232" i="29"/>
  <c r="H232" i="29"/>
  <c r="J232" i="29"/>
  <c r="K232" i="29"/>
  <c r="E232" i="29"/>
  <c r="O232" i="29"/>
  <c r="I232" i="29"/>
  <c r="D216" i="29"/>
  <c r="F216" i="29"/>
  <c r="G216" i="29"/>
  <c r="H216" i="29"/>
  <c r="I216" i="29"/>
  <c r="E216" i="29"/>
  <c r="J216" i="29"/>
  <c r="O216" i="29"/>
  <c r="K216" i="29"/>
  <c r="J200" i="29"/>
  <c r="K200" i="29"/>
  <c r="G200" i="29"/>
  <c r="H200" i="29"/>
  <c r="D200" i="29"/>
  <c r="F200" i="29"/>
  <c r="I200" i="29"/>
  <c r="O200" i="29"/>
  <c r="E200" i="29"/>
  <c r="J184" i="29"/>
  <c r="K184" i="29"/>
  <c r="G184" i="29"/>
  <c r="H184" i="29"/>
  <c r="D184" i="29"/>
  <c r="E184" i="29"/>
  <c r="F184" i="29"/>
  <c r="O184" i="29"/>
  <c r="I184" i="29"/>
  <c r="J168" i="29"/>
  <c r="K168" i="29"/>
  <c r="D168" i="29"/>
  <c r="G168" i="29"/>
  <c r="E168" i="29"/>
  <c r="F168" i="29"/>
  <c r="H168" i="29"/>
  <c r="O168" i="29"/>
  <c r="I168" i="29"/>
  <c r="I153" i="29"/>
  <c r="J153" i="29"/>
  <c r="K153" i="29"/>
  <c r="D153" i="29"/>
  <c r="G153" i="29"/>
  <c r="E153" i="29"/>
  <c r="F153" i="29"/>
  <c r="O153" i="29"/>
  <c r="H153" i="29"/>
  <c r="I137" i="29"/>
  <c r="J137" i="29"/>
  <c r="K137" i="29"/>
  <c r="D137" i="29"/>
  <c r="G137" i="29"/>
  <c r="E137" i="29"/>
  <c r="F137" i="29"/>
  <c r="H137" i="29"/>
  <c r="I121" i="29"/>
  <c r="J121" i="29"/>
  <c r="K121" i="29"/>
  <c r="D121" i="29"/>
  <c r="G121" i="29"/>
  <c r="E121" i="29"/>
  <c r="F121" i="29"/>
  <c r="H121" i="29"/>
  <c r="I105" i="29"/>
  <c r="J105" i="29"/>
  <c r="K105" i="29"/>
  <c r="D105" i="29"/>
  <c r="E105" i="29"/>
  <c r="G105" i="29"/>
  <c r="F105" i="29"/>
  <c r="O105" i="29"/>
  <c r="H105" i="29"/>
  <c r="I89" i="29"/>
  <c r="J89" i="29"/>
  <c r="K89" i="29"/>
  <c r="D89" i="29"/>
  <c r="E89" i="29"/>
  <c r="G89" i="29"/>
  <c r="F89" i="29"/>
  <c r="O89" i="29"/>
  <c r="H89" i="29"/>
  <c r="I73" i="29"/>
  <c r="J73" i="29"/>
  <c r="K73" i="29"/>
  <c r="D73" i="29"/>
  <c r="E73" i="29"/>
  <c r="G73" i="29"/>
  <c r="F73" i="29"/>
  <c r="H73" i="29"/>
  <c r="O73" i="29"/>
  <c r="I57" i="29"/>
  <c r="J57" i="29"/>
  <c r="K57" i="29"/>
  <c r="D57" i="29"/>
  <c r="E57" i="29"/>
  <c r="G57" i="29"/>
  <c r="F57" i="29"/>
  <c r="H57" i="29"/>
  <c r="O57" i="29"/>
  <c r="F41" i="29"/>
  <c r="G41" i="29"/>
  <c r="H41" i="29"/>
  <c r="I41" i="29"/>
  <c r="J41" i="29"/>
  <c r="D41" i="29"/>
  <c r="E41" i="29"/>
  <c r="O41" i="29"/>
  <c r="K41" i="29"/>
  <c r="F27" i="29"/>
  <c r="G27" i="29"/>
  <c r="H27" i="29"/>
  <c r="I27" i="29"/>
  <c r="J27" i="29"/>
  <c r="D27" i="29"/>
  <c r="E27" i="29"/>
  <c r="O27" i="29"/>
  <c r="K27" i="29"/>
  <c r="F11" i="29"/>
  <c r="G11" i="29"/>
  <c r="H11" i="29"/>
  <c r="I11" i="29"/>
  <c r="J11" i="29"/>
  <c r="D11" i="29"/>
  <c r="E11" i="29"/>
  <c r="K11" i="29"/>
  <c r="O11" i="29"/>
  <c r="H300" i="29"/>
  <c r="G300" i="29"/>
  <c r="I300" i="29"/>
  <c r="J300" i="29"/>
  <c r="K300" i="29"/>
  <c r="D300" i="29"/>
  <c r="E300" i="29"/>
  <c r="F300" i="29"/>
  <c r="G285" i="29"/>
  <c r="H285" i="29"/>
  <c r="I285" i="29"/>
  <c r="J285" i="29"/>
  <c r="K285" i="29"/>
  <c r="D285" i="29"/>
  <c r="E285" i="29"/>
  <c r="F285" i="29"/>
  <c r="G269" i="29"/>
  <c r="H269" i="29"/>
  <c r="I269" i="29"/>
  <c r="J269" i="29"/>
  <c r="D269" i="29"/>
  <c r="K269" i="29"/>
  <c r="E269" i="29"/>
  <c r="F269" i="29"/>
  <c r="K255" i="29"/>
  <c r="E255" i="29"/>
  <c r="O255" i="29"/>
  <c r="F255" i="29"/>
  <c r="G255" i="29"/>
  <c r="H255" i="29"/>
  <c r="I255" i="29"/>
  <c r="J255" i="29"/>
  <c r="D255" i="29"/>
  <c r="F239" i="29"/>
  <c r="G239" i="29"/>
  <c r="H239" i="29"/>
  <c r="I239" i="29"/>
  <c r="O239" i="29"/>
  <c r="J239" i="29"/>
  <c r="K239" i="29"/>
  <c r="E239" i="29"/>
  <c r="D239" i="29"/>
  <c r="F223" i="29"/>
  <c r="G223" i="29"/>
  <c r="H223" i="29"/>
  <c r="E223" i="29"/>
  <c r="I223" i="29"/>
  <c r="J223" i="29"/>
  <c r="O223" i="29"/>
  <c r="K223" i="29"/>
  <c r="D223" i="29"/>
  <c r="K191" i="29"/>
  <c r="G191" i="29"/>
  <c r="O191" i="29"/>
  <c r="D191" i="29"/>
  <c r="F191" i="29"/>
  <c r="H191" i="29"/>
  <c r="I191" i="29"/>
  <c r="E191" i="29"/>
  <c r="J191" i="29"/>
  <c r="K179" i="29"/>
  <c r="D179" i="29"/>
  <c r="G179" i="29"/>
  <c r="J179" i="29"/>
  <c r="E179" i="29"/>
  <c r="H179" i="29"/>
  <c r="I179" i="29"/>
  <c r="F179" i="29"/>
  <c r="O179" i="29"/>
  <c r="K175" i="29"/>
  <c r="D175" i="29"/>
  <c r="G175" i="29"/>
  <c r="O175" i="29"/>
  <c r="E175" i="29"/>
  <c r="H175" i="29"/>
  <c r="I175" i="29"/>
  <c r="F175" i="29"/>
  <c r="J175" i="29"/>
  <c r="J163" i="29"/>
  <c r="K163" i="29"/>
  <c r="D163" i="29"/>
  <c r="G163" i="29"/>
  <c r="E163" i="29"/>
  <c r="F163" i="29"/>
  <c r="H163" i="29"/>
  <c r="O163" i="29"/>
  <c r="I163" i="29"/>
  <c r="J159" i="29"/>
  <c r="K159" i="29"/>
  <c r="D159" i="29"/>
  <c r="G159" i="29"/>
  <c r="E159" i="29"/>
  <c r="O159" i="29"/>
  <c r="H159" i="29"/>
  <c r="F159" i="29"/>
  <c r="I159" i="29"/>
  <c r="J128" i="29"/>
  <c r="K128" i="29"/>
  <c r="D128" i="29"/>
  <c r="G128" i="29"/>
  <c r="E128" i="29"/>
  <c r="H128" i="29"/>
  <c r="F128" i="29"/>
  <c r="I128" i="29"/>
  <c r="J112" i="29"/>
  <c r="K112" i="29"/>
  <c r="D112" i="29"/>
  <c r="E112" i="29"/>
  <c r="G112" i="29"/>
  <c r="F112" i="29"/>
  <c r="H112" i="29"/>
  <c r="I112" i="29"/>
  <c r="O112" i="29"/>
  <c r="J96" i="29"/>
  <c r="K96" i="29"/>
  <c r="O96" i="29"/>
  <c r="D96" i="29"/>
  <c r="E96" i="29"/>
  <c r="G96" i="29"/>
  <c r="F96" i="29"/>
  <c r="H96" i="29"/>
  <c r="I96" i="29"/>
  <c r="J80" i="29"/>
  <c r="K80" i="29"/>
  <c r="D80" i="29"/>
  <c r="E80" i="29"/>
  <c r="O80" i="29"/>
  <c r="G80" i="29"/>
  <c r="F80" i="29"/>
  <c r="H80" i="29"/>
  <c r="I80" i="29"/>
  <c r="J64" i="29"/>
  <c r="K64" i="29"/>
  <c r="D64" i="29"/>
  <c r="E64" i="29"/>
  <c r="G64" i="29"/>
  <c r="F64" i="29"/>
  <c r="O64" i="29"/>
  <c r="H64" i="29"/>
  <c r="I64" i="29"/>
  <c r="G48" i="29"/>
  <c r="H48" i="29"/>
  <c r="I48" i="29"/>
  <c r="J48" i="29"/>
  <c r="D48" i="29"/>
  <c r="E48" i="29"/>
  <c r="K48" i="29"/>
  <c r="O48" i="29"/>
  <c r="F48" i="29"/>
  <c r="G34" i="29"/>
  <c r="H34" i="29"/>
  <c r="O34" i="29"/>
  <c r="I34" i="29"/>
  <c r="J34" i="29"/>
  <c r="D34" i="29"/>
  <c r="E34" i="29"/>
  <c r="K34" i="29"/>
  <c r="F34" i="29"/>
  <c r="G18" i="29"/>
  <c r="H18" i="29"/>
  <c r="I18" i="29"/>
  <c r="J18" i="29"/>
  <c r="O18" i="29"/>
  <c r="D18" i="29"/>
  <c r="E18" i="29"/>
  <c r="K18" i="29"/>
  <c r="F18" i="29"/>
  <c r="F295" i="29"/>
  <c r="G295" i="29"/>
  <c r="H295" i="29"/>
  <c r="I295" i="29"/>
  <c r="J295" i="29"/>
  <c r="D295" i="29"/>
  <c r="K295" i="29"/>
  <c r="E295" i="29"/>
  <c r="O295" i="29"/>
  <c r="F280" i="29"/>
  <c r="G280" i="29"/>
  <c r="H280" i="29"/>
  <c r="I280" i="29"/>
  <c r="J280" i="29"/>
  <c r="K280" i="29"/>
  <c r="D280" i="29"/>
  <c r="E280" i="29"/>
  <c r="O280" i="29"/>
  <c r="F264" i="29"/>
  <c r="G264" i="29"/>
  <c r="H264" i="29"/>
  <c r="I264" i="29"/>
  <c r="J264" i="29"/>
  <c r="K264" i="29"/>
  <c r="D264" i="29"/>
  <c r="E264" i="29"/>
  <c r="D250" i="29"/>
  <c r="F250" i="29"/>
  <c r="G250" i="29"/>
  <c r="H250" i="29"/>
  <c r="I250" i="29"/>
  <c r="J250" i="29"/>
  <c r="K250" i="29"/>
  <c r="E250" i="29"/>
  <c r="O250" i="29"/>
  <c r="D234" i="29"/>
  <c r="F234" i="29"/>
  <c r="G234" i="29"/>
  <c r="I234" i="29"/>
  <c r="J234" i="29"/>
  <c r="K234" i="29"/>
  <c r="E234" i="29"/>
  <c r="H234" i="29"/>
  <c r="O234" i="29"/>
  <c r="D218" i="29"/>
  <c r="F218" i="29"/>
  <c r="G218" i="29"/>
  <c r="H218" i="29"/>
  <c r="I218" i="29"/>
  <c r="E218" i="29"/>
  <c r="J218" i="29"/>
  <c r="K218" i="29"/>
  <c r="O218" i="29"/>
  <c r="J202" i="29"/>
  <c r="K202" i="29"/>
  <c r="G202" i="29"/>
  <c r="E202" i="29"/>
  <c r="H202" i="29"/>
  <c r="I202" i="29"/>
  <c r="D202" i="29"/>
  <c r="F202" i="29"/>
  <c r="O202" i="29"/>
  <c r="J186" i="29"/>
  <c r="K186" i="29"/>
  <c r="G186" i="29"/>
  <c r="E186" i="29"/>
  <c r="H186" i="29"/>
  <c r="I186" i="29"/>
  <c r="D186" i="29"/>
  <c r="F186" i="29"/>
  <c r="O186" i="29"/>
  <c r="J170" i="29"/>
  <c r="K170" i="29"/>
  <c r="D170" i="29"/>
  <c r="G170" i="29"/>
  <c r="E170" i="29"/>
  <c r="F170" i="29"/>
  <c r="H170" i="29"/>
  <c r="I170" i="29"/>
  <c r="O170" i="29"/>
  <c r="I155" i="29"/>
  <c r="J155" i="29"/>
  <c r="K155" i="29"/>
  <c r="D155" i="29"/>
  <c r="G155" i="29"/>
  <c r="F155" i="29"/>
  <c r="H155" i="29"/>
  <c r="E155" i="29"/>
  <c r="O155" i="29"/>
  <c r="I139" i="29"/>
  <c r="J139" i="29"/>
  <c r="K139" i="29"/>
  <c r="D139" i="29"/>
  <c r="G139" i="29"/>
  <c r="F139" i="29"/>
  <c r="H139" i="29"/>
  <c r="E139" i="29"/>
  <c r="O139" i="29"/>
  <c r="I123" i="29"/>
  <c r="J123" i="29"/>
  <c r="K123" i="29"/>
  <c r="D123" i="29"/>
  <c r="G123" i="29"/>
  <c r="F123" i="29"/>
  <c r="H123" i="29"/>
  <c r="E123" i="29"/>
  <c r="I107" i="29"/>
  <c r="J107" i="29"/>
  <c r="K107" i="29"/>
  <c r="D107" i="29"/>
  <c r="E107" i="29"/>
  <c r="G107" i="29"/>
  <c r="H107" i="29"/>
  <c r="F107" i="29"/>
  <c r="O107" i="29"/>
  <c r="I91" i="29"/>
  <c r="J91" i="29"/>
  <c r="K91" i="29"/>
  <c r="D91" i="29"/>
  <c r="E91" i="29"/>
  <c r="G91" i="29"/>
  <c r="F91" i="29"/>
  <c r="H91" i="29"/>
  <c r="O91" i="29"/>
  <c r="I75" i="29"/>
  <c r="J75" i="29"/>
  <c r="K75" i="29"/>
  <c r="D75" i="29"/>
  <c r="E75" i="29"/>
  <c r="G75" i="29"/>
  <c r="H75" i="29"/>
  <c r="F75" i="29"/>
  <c r="O75" i="29"/>
  <c r="I59" i="29"/>
  <c r="J59" i="29"/>
  <c r="K59" i="29"/>
  <c r="D59" i="29"/>
  <c r="E59" i="29"/>
  <c r="G59" i="29"/>
  <c r="F59" i="29"/>
  <c r="H59" i="29"/>
  <c r="O59" i="29"/>
  <c r="F43" i="29"/>
  <c r="G43" i="29"/>
  <c r="H43" i="29"/>
  <c r="I43" i="29"/>
  <c r="J43" i="29"/>
  <c r="D43" i="29"/>
  <c r="E43" i="29"/>
  <c r="K43" i="29"/>
  <c r="O43" i="29"/>
  <c r="F29" i="29"/>
  <c r="G29" i="29"/>
  <c r="H29" i="29"/>
  <c r="I29" i="29"/>
  <c r="J29" i="29"/>
  <c r="D29" i="29"/>
  <c r="E29" i="29"/>
  <c r="K29" i="29"/>
  <c r="O29" i="29"/>
  <c r="G13" i="29"/>
  <c r="H13" i="29"/>
  <c r="I13" i="29"/>
  <c r="J13" i="29"/>
  <c r="D13" i="29"/>
  <c r="E13" i="29"/>
  <c r="F13" i="29"/>
  <c r="K13" i="29"/>
  <c r="O13" i="29"/>
  <c r="E257" i="29"/>
  <c r="F257" i="29"/>
  <c r="G257" i="29"/>
  <c r="H257" i="29"/>
  <c r="I257" i="29"/>
  <c r="J257" i="29"/>
  <c r="K257" i="29"/>
  <c r="O257" i="29"/>
  <c r="D257" i="29"/>
  <c r="F241" i="29"/>
  <c r="G241" i="29"/>
  <c r="E241" i="29"/>
  <c r="H241" i="29"/>
  <c r="I241" i="29"/>
  <c r="J241" i="29"/>
  <c r="K241" i="29"/>
  <c r="D241" i="29"/>
  <c r="O241" i="29"/>
  <c r="J109" i="29"/>
  <c r="K109" i="29"/>
  <c r="D109" i="29"/>
  <c r="E109" i="29"/>
  <c r="G109" i="29"/>
  <c r="O109" i="29"/>
  <c r="F109" i="29"/>
  <c r="H109" i="29"/>
  <c r="I109" i="29"/>
  <c r="F273" i="29"/>
  <c r="G273" i="29"/>
  <c r="H273" i="29"/>
  <c r="I273" i="29"/>
  <c r="J273" i="29"/>
  <c r="D273" i="29"/>
  <c r="K273" i="29"/>
  <c r="E273" i="29"/>
  <c r="O273" i="29"/>
  <c r="I100" i="29"/>
  <c r="J100" i="29"/>
  <c r="K100" i="29"/>
  <c r="D100" i="29"/>
  <c r="E100" i="29"/>
  <c r="G100" i="29"/>
  <c r="F100" i="29"/>
  <c r="H100" i="29"/>
  <c r="O100" i="29"/>
  <c r="F299" i="29"/>
  <c r="G299" i="29"/>
  <c r="H299" i="29"/>
  <c r="I299" i="29"/>
  <c r="J299" i="29"/>
  <c r="D299" i="29"/>
  <c r="K299" i="29"/>
  <c r="E299" i="29"/>
  <c r="O299" i="29"/>
  <c r="J206" i="29"/>
  <c r="K206" i="29"/>
  <c r="G206" i="29"/>
  <c r="D206" i="29"/>
  <c r="E206" i="29"/>
  <c r="F206" i="29"/>
  <c r="H206" i="29"/>
  <c r="I206" i="29"/>
  <c r="O206" i="29"/>
  <c r="J79" i="29"/>
  <c r="K79" i="29"/>
  <c r="D79" i="29"/>
  <c r="E79" i="29"/>
  <c r="O79" i="29"/>
  <c r="G79" i="29"/>
  <c r="F79" i="29"/>
  <c r="H79" i="29"/>
  <c r="I79" i="29"/>
  <c r="H8" i="29"/>
  <c r="F8" i="29"/>
  <c r="G8" i="29"/>
  <c r="E8" i="29"/>
  <c r="D8" i="29"/>
  <c r="K8" i="29"/>
  <c r="I8" i="29"/>
  <c r="J8" i="29"/>
  <c r="F289" i="29"/>
  <c r="G289" i="29"/>
  <c r="H289" i="29"/>
  <c r="I289" i="29"/>
  <c r="J289" i="29"/>
  <c r="K289" i="29"/>
  <c r="D289" i="29"/>
  <c r="E289" i="29"/>
  <c r="O289" i="29"/>
  <c r="F243" i="29"/>
  <c r="G243" i="29"/>
  <c r="E243" i="29"/>
  <c r="H243" i="29"/>
  <c r="I243" i="29"/>
  <c r="J243" i="29"/>
  <c r="K243" i="29"/>
  <c r="O243" i="29"/>
  <c r="D243" i="29"/>
  <c r="D227" i="29"/>
  <c r="F227" i="29"/>
  <c r="G227" i="29"/>
  <c r="H227" i="29"/>
  <c r="E227" i="29"/>
  <c r="I227" i="29"/>
  <c r="J227" i="29"/>
  <c r="K227" i="29"/>
  <c r="O227" i="29"/>
  <c r="G287" i="29"/>
  <c r="H287" i="29"/>
  <c r="I287" i="29"/>
  <c r="J287" i="29"/>
  <c r="K287" i="29"/>
  <c r="D287" i="29"/>
  <c r="E287" i="29"/>
  <c r="O287" i="29"/>
  <c r="F287" i="29"/>
  <c r="G271" i="29"/>
  <c r="H271" i="29"/>
  <c r="I271" i="29"/>
  <c r="J271" i="29"/>
  <c r="D271" i="29"/>
  <c r="K271" i="29"/>
  <c r="E271" i="29"/>
  <c r="F271" i="29"/>
  <c r="F225" i="29"/>
  <c r="G225" i="29"/>
  <c r="H225" i="29"/>
  <c r="E225" i="29"/>
  <c r="I225" i="29"/>
  <c r="J225" i="29"/>
  <c r="K225" i="29"/>
  <c r="D225" i="29"/>
  <c r="O225" i="29"/>
  <c r="K209" i="29"/>
  <c r="G209" i="29"/>
  <c r="D209" i="29"/>
  <c r="E209" i="29"/>
  <c r="F209" i="29"/>
  <c r="H209" i="29"/>
  <c r="I209" i="29"/>
  <c r="O209" i="29"/>
  <c r="J209" i="29"/>
  <c r="K193" i="29"/>
  <c r="G193" i="29"/>
  <c r="D193" i="29"/>
  <c r="E193" i="29"/>
  <c r="F193" i="29"/>
  <c r="H193" i="29"/>
  <c r="I193" i="29"/>
  <c r="J193" i="29"/>
  <c r="O193" i="29"/>
  <c r="K177" i="29"/>
  <c r="D177" i="29"/>
  <c r="G177" i="29"/>
  <c r="E177" i="29"/>
  <c r="H177" i="29"/>
  <c r="I177" i="29"/>
  <c r="F177" i="29"/>
  <c r="J177" i="29"/>
  <c r="O177" i="29"/>
  <c r="J161" i="29"/>
  <c r="K161" i="29"/>
  <c r="D161" i="29"/>
  <c r="G161" i="29"/>
  <c r="H161" i="29"/>
  <c r="E161" i="29"/>
  <c r="F161" i="29"/>
  <c r="I161" i="29"/>
  <c r="O161" i="29"/>
  <c r="J146" i="29"/>
  <c r="K146" i="29"/>
  <c r="D146" i="29"/>
  <c r="G146" i="29"/>
  <c r="H146" i="29"/>
  <c r="F146" i="29"/>
  <c r="E146" i="29"/>
  <c r="I146" i="29"/>
  <c r="J130" i="29"/>
  <c r="K130" i="29"/>
  <c r="D130" i="29"/>
  <c r="G130" i="29"/>
  <c r="H130" i="29"/>
  <c r="E130" i="29"/>
  <c r="F130" i="29"/>
  <c r="I130" i="29"/>
  <c r="J114" i="29"/>
  <c r="K114" i="29"/>
  <c r="D114" i="29"/>
  <c r="E114" i="29"/>
  <c r="G114" i="29"/>
  <c r="F114" i="29"/>
  <c r="H114" i="29"/>
  <c r="I114" i="29"/>
  <c r="J98" i="29"/>
  <c r="K98" i="29"/>
  <c r="D98" i="29"/>
  <c r="E98" i="29"/>
  <c r="G98" i="29"/>
  <c r="F98" i="29"/>
  <c r="H98" i="29"/>
  <c r="I98" i="29"/>
  <c r="O98" i="29"/>
  <c r="J82" i="29"/>
  <c r="K82" i="29"/>
  <c r="D82" i="29"/>
  <c r="E82" i="29"/>
  <c r="G82" i="29"/>
  <c r="F82" i="29"/>
  <c r="H82" i="29"/>
  <c r="O82" i="29"/>
  <c r="I82" i="29"/>
  <c r="J66" i="29"/>
  <c r="K66" i="29"/>
  <c r="D66" i="29"/>
  <c r="E66" i="29"/>
  <c r="G66" i="29"/>
  <c r="F66" i="29"/>
  <c r="H66" i="29"/>
  <c r="O66" i="29"/>
  <c r="I66" i="29"/>
  <c r="G50" i="29"/>
  <c r="H50" i="29"/>
  <c r="I50" i="29"/>
  <c r="J50" i="29"/>
  <c r="D50" i="29"/>
  <c r="E50" i="29"/>
  <c r="K50" i="29"/>
  <c r="F50" i="29"/>
  <c r="O50" i="29"/>
  <c r="G20" i="29"/>
  <c r="H20" i="29"/>
  <c r="I20" i="29"/>
  <c r="J20" i="29"/>
  <c r="D20" i="29"/>
  <c r="E20" i="29"/>
  <c r="K20" i="29"/>
  <c r="O20" i="29"/>
  <c r="F20" i="29"/>
  <c r="U4" i="2"/>
  <c r="O24" i="45"/>
  <c r="G9" i="45"/>
  <c r="W64" i="53" l="1"/>
  <c r="N64" i="2"/>
  <c r="W224" i="53"/>
  <c r="N224" i="2"/>
  <c r="W183" i="53"/>
  <c r="N183" i="2"/>
  <c r="W255" i="53"/>
  <c r="N255" i="2"/>
  <c r="W200" i="53"/>
  <c r="N200" i="2"/>
  <c r="W80" i="53"/>
  <c r="N80" i="2"/>
  <c r="W278" i="53"/>
  <c r="N278" i="2"/>
  <c r="W214" i="53"/>
  <c r="N214" i="2"/>
  <c r="W150" i="53"/>
  <c r="N150" i="2"/>
  <c r="W86" i="53"/>
  <c r="N86" i="2"/>
  <c r="W22" i="53"/>
  <c r="N22" i="2"/>
  <c r="W285" i="53"/>
  <c r="N285" i="2"/>
  <c r="W221" i="53"/>
  <c r="N221" i="2"/>
  <c r="W157" i="53"/>
  <c r="N157" i="2"/>
  <c r="W93" i="53"/>
  <c r="N93" i="2"/>
  <c r="W29" i="53"/>
  <c r="N29" i="2"/>
  <c r="W300" i="53"/>
  <c r="N300" i="2"/>
  <c r="W236" i="53"/>
  <c r="N236" i="2"/>
  <c r="W172" i="53"/>
  <c r="N172" i="2"/>
  <c r="W108" i="53"/>
  <c r="N108" i="2"/>
  <c r="W44" i="53"/>
  <c r="N44" i="2"/>
  <c r="W87" i="53"/>
  <c r="N87" i="2"/>
  <c r="W251" i="53"/>
  <c r="N251" i="2"/>
  <c r="W187" i="53"/>
  <c r="N187" i="2"/>
  <c r="W123" i="53"/>
  <c r="N123" i="2"/>
  <c r="W59" i="53"/>
  <c r="N59" i="2"/>
  <c r="W111" i="53"/>
  <c r="N111" i="2"/>
  <c r="W266" i="53"/>
  <c r="N266" i="2"/>
  <c r="W202" i="53"/>
  <c r="N202" i="2"/>
  <c r="W138" i="53"/>
  <c r="N138" i="2"/>
  <c r="W74" i="53"/>
  <c r="N74" i="2"/>
  <c r="W10" i="53"/>
  <c r="N10" i="2"/>
  <c r="W241" i="53"/>
  <c r="N241" i="2"/>
  <c r="W177" i="53"/>
  <c r="N177" i="2"/>
  <c r="W113" i="53"/>
  <c r="N113" i="2"/>
  <c r="W49" i="53"/>
  <c r="N49" i="2"/>
  <c r="W136" i="53"/>
  <c r="N136" i="2"/>
  <c r="W223" i="53"/>
  <c r="N223" i="2"/>
  <c r="W176" i="53"/>
  <c r="N176" i="2"/>
  <c r="W248" i="53"/>
  <c r="N248" i="2"/>
  <c r="W216" i="53"/>
  <c r="N216" i="2"/>
  <c r="W152" i="53"/>
  <c r="N152" i="2"/>
  <c r="W16" i="53"/>
  <c r="N16" i="2"/>
  <c r="W270" i="53"/>
  <c r="N270" i="2"/>
  <c r="W206" i="53"/>
  <c r="N206" i="2"/>
  <c r="W142" i="53"/>
  <c r="N142" i="2"/>
  <c r="W78" i="53"/>
  <c r="N78" i="2"/>
  <c r="W14" i="53"/>
  <c r="N14" i="2"/>
  <c r="W277" i="53"/>
  <c r="N277" i="2"/>
  <c r="W213" i="53"/>
  <c r="N213" i="2"/>
  <c r="W149" i="53"/>
  <c r="N149" i="2"/>
  <c r="W85" i="53"/>
  <c r="N85" i="2"/>
  <c r="W21" i="53"/>
  <c r="N21" i="2"/>
  <c r="W292" i="53"/>
  <c r="N292" i="2"/>
  <c r="W228" i="53"/>
  <c r="N228" i="2"/>
  <c r="W164" i="53"/>
  <c r="N164" i="2"/>
  <c r="W100" i="53"/>
  <c r="N100" i="2"/>
  <c r="W36" i="53"/>
  <c r="N36" i="2"/>
  <c r="W47" i="53"/>
  <c r="N47" i="2"/>
  <c r="W243" i="53"/>
  <c r="N243" i="2"/>
  <c r="W179" i="53"/>
  <c r="N179" i="2"/>
  <c r="W115" i="53"/>
  <c r="N115" i="2"/>
  <c r="W51" i="53"/>
  <c r="N51" i="2"/>
  <c r="W63" i="53"/>
  <c r="N63" i="2"/>
  <c r="W258" i="53"/>
  <c r="N258" i="2"/>
  <c r="W194" i="53"/>
  <c r="N194" i="2"/>
  <c r="W130" i="53"/>
  <c r="N130" i="2"/>
  <c r="W66" i="53"/>
  <c r="N66" i="2"/>
  <c r="W297" i="53"/>
  <c r="N297" i="2"/>
  <c r="W233" i="53"/>
  <c r="N233" i="2"/>
  <c r="W169" i="53"/>
  <c r="N169" i="2"/>
  <c r="W105" i="53"/>
  <c r="N105" i="2"/>
  <c r="W41" i="53"/>
  <c r="N41" i="2"/>
  <c r="W128" i="53"/>
  <c r="N128" i="2"/>
  <c r="W56" i="53"/>
  <c r="N56" i="2"/>
  <c r="W175" i="53"/>
  <c r="N175" i="2"/>
  <c r="W112" i="53"/>
  <c r="N112" i="2"/>
  <c r="W88" i="53"/>
  <c r="N88" i="2"/>
  <c r="W135" i="53"/>
  <c r="N135" i="2"/>
  <c r="W198" i="53"/>
  <c r="N198" i="2"/>
  <c r="W199" i="53"/>
  <c r="N199" i="2"/>
  <c r="W269" i="53"/>
  <c r="N269" i="2"/>
  <c r="W205" i="53"/>
  <c r="N205" i="2"/>
  <c r="W141" i="53"/>
  <c r="N141" i="2"/>
  <c r="W77" i="53"/>
  <c r="N77" i="2"/>
  <c r="W13" i="53"/>
  <c r="N13" i="2"/>
  <c r="W284" i="53"/>
  <c r="N284" i="2"/>
  <c r="W220" i="53"/>
  <c r="N220" i="2"/>
  <c r="W156" i="53"/>
  <c r="N156" i="2"/>
  <c r="W92" i="53"/>
  <c r="N92" i="2"/>
  <c r="W28" i="53"/>
  <c r="N28" i="2"/>
  <c r="W299" i="53"/>
  <c r="N299" i="2"/>
  <c r="W235" i="53"/>
  <c r="N235" i="2"/>
  <c r="W171" i="53"/>
  <c r="N171" i="2"/>
  <c r="W107" i="53"/>
  <c r="N107" i="2"/>
  <c r="W43" i="53"/>
  <c r="N43" i="2"/>
  <c r="W39" i="53"/>
  <c r="N39" i="2"/>
  <c r="W250" i="53"/>
  <c r="N250" i="2"/>
  <c r="W186" i="53"/>
  <c r="N186" i="2"/>
  <c r="W122" i="53"/>
  <c r="N122" i="2"/>
  <c r="W58" i="53"/>
  <c r="N58" i="2"/>
  <c r="W289" i="53"/>
  <c r="N289" i="2"/>
  <c r="W225" i="53"/>
  <c r="N225" i="2"/>
  <c r="W161" i="53"/>
  <c r="N161" i="2"/>
  <c r="W97" i="53"/>
  <c r="N97" i="2"/>
  <c r="W33" i="53"/>
  <c r="N33" i="2"/>
  <c r="W120" i="53"/>
  <c r="N120" i="2"/>
  <c r="W280" i="53"/>
  <c r="N280" i="2"/>
  <c r="W279" i="53"/>
  <c r="N279" i="2"/>
  <c r="W272" i="53"/>
  <c r="N272" i="2"/>
  <c r="W104" i="53"/>
  <c r="N104" i="2"/>
  <c r="W296" i="53"/>
  <c r="N296" i="2"/>
  <c r="W103" i="53"/>
  <c r="N103" i="2"/>
  <c r="W254" i="53"/>
  <c r="N254" i="2"/>
  <c r="W190" i="53"/>
  <c r="N190" i="2"/>
  <c r="W126" i="53"/>
  <c r="N126" i="2"/>
  <c r="W62" i="53"/>
  <c r="N62" i="2"/>
  <c r="W159" i="53"/>
  <c r="N159" i="2"/>
  <c r="W261" i="53"/>
  <c r="N261" i="2"/>
  <c r="W197" i="53"/>
  <c r="N197" i="2"/>
  <c r="W133" i="53"/>
  <c r="N133" i="2"/>
  <c r="W69" i="53"/>
  <c r="N69" i="2"/>
  <c r="W191" i="53"/>
  <c r="N191" i="2"/>
  <c r="W276" i="53"/>
  <c r="N276" i="2"/>
  <c r="W212" i="53"/>
  <c r="N212" i="2"/>
  <c r="W148" i="53"/>
  <c r="N148" i="2"/>
  <c r="W84" i="53"/>
  <c r="N84" i="2"/>
  <c r="W20" i="53"/>
  <c r="N20" i="2"/>
  <c r="W291" i="53"/>
  <c r="N291" i="2"/>
  <c r="W227" i="53"/>
  <c r="N227" i="2"/>
  <c r="W163" i="53"/>
  <c r="N163" i="2"/>
  <c r="W99" i="53"/>
  <c r="N99" i="2"/>
  <c r="W35" i="53"/>
  <c r="N35" i="2"/>
  <c r="W301" i="53"/>
  <c r="N301" i="2"/>
  <c r="W242" i="53"/>
  <c r="N242" i="2"/>
  <c r="W178" i="53"/>
  <c r="N178" i="2"/>
  <c r="W114" i="53"/>
  <c r="N114" i="2"/>
  <c r="W50" i="53"/>
  <c r="N50" i="2"/>
  <c r="W281" i="53"/>
  <c r="N281" i="2"/>
  <c r="W217" i="53"/>
  <c r="N217" i="2"/>
  <c r="W153" i="53"/>
  <c r="N153" i="2"/>
  <c r="W89" i="53"/>
  <c r="N89" i="2"/>
  <c r="W25" i="53"/>
  <c r="N25" i="2"/>
  <c r="W262" i="53"/>
  <c r="N262" i="2"/>
  <c r="W231" i="53"/>
  <c r="N231" i="2"/>
  <c r="W48" i="53"/>
  <c r="N48" i="2"/>
  <c r="W168" i="53"/>
  <c r="N168" i="2"/>
  <c r="W208" i="53"/>
  <c r="N208" i="2"/>
  <c r="W240" i="53"/>
  <c r="N240" i="2"/>
  <c r="W264" i="53"/>
  <c r="N264" i="2"/>
  <c r="W71" i="53"/>
  <c r="N71" i="2"/>
  <c r="W246" i="53"/>
  <c r="N246" i="2"/>
  <c r="W182" i="53"/>
  <c r="N182" i="2"/>
  <c r="W118" i="53"/>
  <c r="N118" i="2"/>
  <c r="W54" i="53"/>
  <c r="N54" i="2"/>
  <c r="W119" i="53"/>
  <c r="N119" i="2"/>
  <c r="W253" i="53"/>
  <c r="N253" i="2"/>
  <c r="W189" i="53"/>
  <c r="N189" i="2"/>
  <c r="W125" i="53"/>
  <c r="N125" i="2"/>
  <c r="W61" i="53"/>
  <c r="N61" i="2"/>
  <c r="W151" i="53"/>
  <c r="N151" i="2"/>
  <c r="W268" i="53"/>
  <c r="N268" i="2"/>
  <c r="W204" i="53"/>
  <c r="N204" i="2"/>
  <c r="W140" i="53"/>
  <c r="N140" i="2"/>
  <c r="W76" i="53"/>
  <c r="N76" i="2"/>
  <c r="W12" i="53"/>
  <c r="N12" i="2"/>
  <c r="W283" i="53"/>
  <c r="N283" i="2"/>
  <c r="W219" i="53"/>
  <c r="N219" i="2"/>
  <c r="W155" i="53"/>
  <c r="N155" i="2"/>
  <c r="W91" i="53"/>
  <c r="N91" i="2"/>
  <c r="W27" i="53"/>
  <c r="N27" i="2"/>
  <c r="W298" i="53"/>
  <c r="N298" i="2"/>
  <c r="W234" i="53"/>
  <c r="N234" i="2"/>
  <c r="W170" i="53"/>
  <c r="N170" i="2"/>
  <c r="W106" i="53"/>
  <c r="N106" i="2"/>
  <c r="W42" i="53"/>
  <c r="N42" i="2"/>
  <c r="W273" i="53"/>
  <c r="N273" i="2"/>
  <c r="W209" i="53"/>
  <c r="N209" i="2"/>
  <c r="W145" i="53"/>
  <c r="N145" i="2"/>
  <c r="W81" i="53"/>
  <c r="N81" i="2"/>
  <c r="W17" i="53"/>
  <c r="N17" i="2"/>
  <c r="W70" i="53"/>
  <c r="N70" i="2"/>
  <c r="W288" i="53"/>
  <c r="N288" i="2"/>
  <c r="W247" i="53"/>
  <c r="N247" i="2"/>
  <c r="W40" i="53"/>
  <c r="N40" i="2"/>
  <c r="W32" i="53"/>
  <c r="N32" i="2"/>
  <c r="W160" i="53"/>
  <c r="N160" i="2"/>
  <c r="W232" i="53"/>
  <c r="N232" i="2"/>
  <c r="W31" i="53"/>
  <c r="N31" i="2"/>
  <c r="W238" i="53"/>
  <c r="N238" i="2"/>
  <c r="W174" i="53"/>
  <c r="N174" i="2"/>
  <c r="W110" i="53"/>
  <c r="N110" i="2"/>
  <c r="W46" i="53"/>
  <c r="N46" i="2"/>
  <c r="W79" i="53"/>
  <c r="N79" i="2"/>
  <c r="W245" i="53"/>
  <c r="N245" i="2"/>
  <c r="W181" i="53"/>
  <c r="N181" i="2"/>
  <c r="W117" i="53"/>
  <c r="N117" i="2"/>
  <c r="W53" i="53"/>
  <c r="N53" i="2"/>
  <c r="W95" i="53"/>
  <c r="N95" i="2"/>
  <c r="W260" i="53"/>
  <c r="N260" i="2"/>
  <c r="W196" i="53"/>
  <c r="N196" i="2"/>
  <c r="W132" i="53"/>
  <c r="N132" i="2"/>
  <c r="W68" i="53"/>
  <c r="N68" i="2"/>
  <c r="W207" i="53"/>
  <c r="N207" i="2"/>
  <c r="W275" i="53"/>
  <c r="N275" i="2"/>
  <c r="W211" i="53"/>
  <c r="N211" i="2"/>
  <c r="W147" i="53"/>
  <c r="N147" i="2"/>
  <c r="W83" i="53"/>
  <c r="N83" i="2"/>
  <c r="W19" i="53"/>
  <c r="N19" i="2"/>
  <c r="W290" i="53"/>
  <c r="N290" i="2"/>
  <c r="W226" i="53"/>
  <c r="N226" i="2"/>
  <c r="W162" i="53"/>
  <c r="N162" i="2"/>
  <c r="W98" i="53"/>
  <c r="N98" i="2"/>
  <c r="W34" i="53"/>
  <c r="N34" i="2"/>
  <c r="W265" i="53"/>
  <c r="N265" i="2"/>
  <c r="W201" i="53"/>
  <c r="N201" i="2"/>
  <c r="W137" i="53"/>
  <c r="N137" i="2"/>
  <c r="W73" i="53"/>
  <c r="N73" i="2"/>
  <c r="W9" i="53"/>
  <c r="N9" i="2"/>
  <c r="W134" i="53"/>
  <c r="N134" i="2"/>
  <c r="W287" i="53"/>
  <c r="N287" i="2"/>
  <c r="W184" i="53"/>
  <c r="N184" i="2"/>
  <c r="W96" i="53"/>
  <c r="N96" i="2"/>
  <c r="W24" i="53"/>
  <c r="N24" i="2"/>
  <c r="W271" i="53"/>
  <c r="N271" i="2"/>
  <c r="W192" i="53"/>
  <c r="N192" i="2"/>
  <c r="W294" i="53"/>
  <c r="N294" i="2"/>
  <c r="W230" i="53"/>
  <c r="N230" i="2"/>
  <c r="W166" i="53"/>
  <c r="N166" i="2"/>
  <c r="W102" i="53"/>
  <c r="N102" i="2"/>
  <c r="W38" i="53"/>
  <c r="N38" i="2"/>
  <c r="W23" i="53"/>
  <c r="N23" i="2"/>
  <c r="W237" i="53"/>
  <c r="N237" i="2"/>
  <c r="W173" i="53"/>
  <c r="N173" i="2"/>
  <c r="W109" i="53"/>
  <c r="N109" i="2"/>
  <c r="W45" i="53"/>
  <c r="N45" i="2"/>
  <c r="W55" i="53"/>
  <c r="N55" i="2"/>
  <c r="W252" i="53"/>
  <c r="N252" i="2"/>
  <c r="W188" i="53"/>
  <c r="N188" i="2"/>
  <c r="W124" i="53"/>
  <c r="N124" i="2"/>
  <c r="W60" i="53"/>
  <c r="N60" i="2"/>
  <c r="W167" i="53"/>
  <c r="N167" i="2"/>
  <c r="W267" i="53"/>
  <c r="N267" i="2"/>
  <c r="W203" i="53"/>
  <c r="N203" i="2"/>
  <c r="W139" i="53"/>
  <c r="N139" i="2"/>
  <c r="W75" i="53"/>
  <c r="N75" i="2"/>
  <c r="W11" i="53"/>
  <c r="N11" i="2"/>
  <c r="W282" i="53"/>
  <c r="N282" i="2"/>
  <c r="W218" i="53"/>
  <c r="N218" i="2"/>
  <c r="W154" i="53"/>
  <c r="N154" i="2"/>
  <c r="W90" i="53"/>
  <c r="N90" i="2"/>
  <c r="W26" i="53"/>
  <c r="N26" i="2"/>
  <c r="W257" i="53"/>
  <c r="N257" i="2"/>
  <c r="W193" i="53"/>
  <c r="N193" i="2"/>
  <c r="W129" i="53"/>
  <c r="N129" i="2"/>
  <c r="W65" i="53"/>
  <c r="N65" i="2"/>
  <c r="W215" i="53"/>
  <c r="N215" i="2"/>
  <c r="W256" i="53"/>
  <c r="N256" i="2"/>
  <c r="W72" i="53"/>
  <c r="N72" i="2"/>
  <c r="W295" i="53"/>
  <c r="N295" i="2"/>
  <c r="W239" i="53"/>
  <c r="N239" i="2"/>
  <c r="W144" i="53"/>
  <c r="N144" i="2"/>
  <c r="W286" i="53"/>
  <c r="N286" i="2"/>
  <c r="W222" i="53"/>
  <c r="N222" i="2"/>
  <c r="W158" i="53"/>
  <c r="N158" i="2"/>
  <c r="W94" i="53"/>
  <c r="N94" i="2"/>
  <c r="W30" i="53"/>
  <c r="N30" i="2"/>
  <c r="W293" i="53"/>
  <c r="N293" i="2"/>
  <c r="W229" i="53"/>
  <c r="N229" i="2"/>
  <c r="W165" i="53"/>
  <c r="N165" i="2"/>
  <c r="W101" i="53"/>
  <c r="N101" i="2"/>
  <c r="W37" i="53"/>
  <c r="N37" i="2"/>
  <c r="W15" i="53"/>
  <c r="N15" i="2"/>
  <c r="W244" i="53"/>
  <c r="N244" i="2"/>
  <c r="W180" i="53"/>
  <c r="N180" i="2"/>
  <c r="W116" i="53"/>
  <c r="N116" i="2"/>
  <c r="W52" i="53"/>
  <c r="N52" i="2"/>
  <c r="W127" i="53"/>
  <c r="N127" i="2"/>
  <c r="W259" i="53"/>
  <c r="N259" i="2"/>
  <c r="W195" i="53"/>
  <c r="N195" i="2"/>
  <c r="W131" i="53"/>
  <c r="N131" i="2"/>
  <c r="W67" i="53"/>
  <c r="N67" i="2"/>
  <c r="W143" i="53"/>
  <c r="N143" i="2"/>
  <c r="W274" i="53"/>
  <c r="N274" i="2"/>
  <c r="W210" i="53"/>
  <c r="N210" i="2"/>
  <c r="W146" i="53"/>
  <c r="N146" i="2"/>
  <c r="W82" i="53"/>
  <c r="N82" i="2"/>
  <c r="W18" i="53"/>
  <c r="N18" i="2"/>
  <c r="W249" i="53"/>
  <c r="N249" i="2"/>
  <c r="W185" i="53"/>
  <c r="N185" i="2"/>
  <c r="W121" i="53"/>
  <c r="N121" i="2"/>
  <c r="W57" i="53"/>
  <c r="N57" i="2"/>
  <c r="W263" i="53"/>
  <c r="W8" i="53"/>
  <c r="N302" i="53"/>
  <c r="U263" i="2"/>
  <c r="D14" i="59"/>
  <c r="N8" i="2"/>
  <c r="D23" i="59"/>
  <c r="S302" i="21"/>
  <c r="T6" i="21" s="1"/>
  <c r="K302" i="29"/>
  <c r="P23" i="45"/>
  <c r="U23" i="45"/>
  <c r="L239" i="29"/>
  <c r="L63" i="29"/>
  <c r="L206" i="29"/>
  <c r="L200" i="29"/>
  <c r="L110" i="29"/>
  <c r="L77" i="29"/>
  <c r="L14" i="29"/>
  <c r="L235" i="29"/>
  <c r="L37" i="29"/>
  <c r="L53" i="29"/>
  <c r="L133" i="29"/>
  <c r="L149" i="29"/>
  <c r="L228" i="29"/>
  <c r="L290" i="29"/>
  <c r="L33" i="29"/>
  <c r="L243" i="29"/>
  <c r="L250" i="29"/>
  <c r="L221" i="29"/>
  <c r="L79" i="29"/>
  <c r="L159" i="29"/>
  <c r="L168" i="29"/>
  <c r="L142" i="29"/>
  <c r="L90" i="29"/>
  <c r="L106" i="29"/>
  <c r="L122" i="29"/>
  <c r="L126" i="29"/>
  <c r="L55" i="29"/>
  <c r="L178" i="29"/>
  <c r="L272" i="29"/>
  <c r="L152" i="29"/>
  <c r="L187" i="29"/>
  <c r="L247" i="29"/>
  <c r="L176" i="29"/>
  <c r="L208" i="29"/>
  <c r="L52" i="29"/>
  <c r="L188" i="29"/>
  <c r="L217" i="29"/>
  <c r="L219" i="29"/>
  <c r="L177" i="29"/>
  <c r="L273" i="29"/>
  <c r="L241" i="29"/>
  <c r="L257" i="29"/>
  <c r="L170" i="29"/>
  <c r="L48" i="29"/>
  <c r="L163" i="29"/>
  <c r="L255" i="29"/>
  <c r="L132" i="29"/>
  <c r="L31" i="29"/>
  <c r="L158" i="29"/>
  <c r="L189" i="29"/>
  <c r="L237" i="29"/>
  <c r="L254" i="29"/>
  <c r="L125" i="29"/>
  <c r="L151" i="29"/>
  <c r="L230" i="29"/>
  <c r="L30" i="29"/>
  <c r="L140" i="29"/>
  <c r="L156" i="29"/>
  <c r="L212" i="29"/>
  <c r="L244" i="29"/>
  <c r="L36" i="29"/>
  <c r="L12" i="29"/>
  <c r="L233" i="29"/>
  <c r="L135" i="29"/>
  <c r="L9" i="29"/>
  <c r="L67" i="29"/>
  <c r="L183" i="29"/>
  <c r="L270" i="29"/>
  <c r="L174" i="29"/>
  <c r="L195" i="29"/>
  <c r="L70" i="29"/>
  <c r="L201" i="29"/>
  <c r="L261" i="29"/>
  <c r="L291" i="29"/>
  <c r="L84" i="29"/>
  <c r="L211" i="29"/>
  <c r="L50" i="29"/>
  <c r="L193" i="29"/>
  <c r="L209" i="29"/>
  <c r="J302" i="29"/>
  <c r="J303" i="29"/>
  <c r="L100" i="29"/>
  <c r="L59" i="29"/>
  <c r="L264" i="29"/>
  <c r="L57" i="29"/>
  <c r="L16" i="29"/>
  <c r="L205" i="29"/>
  <c r="L253" i="29"/>
  <c r="L144" i="29"/>
  <c r="L62" i="29"/>
  <c r="L166" i="29"/>
  <c r="L246" i="29"/>
  <c r="L44" i="29"/>
  <c r="L203" i="29"/>
  <c r="L164" i="29"/>
  <c r="L259" i="29"/>
  <c r="L28" i="29"/>
  <c r="L154" i="29"/>
  <c r="L249" i="29"/>
  <c r="L21" i="29"/>
  <c r="L288" i="29"/>
  <c r="L167" i="29"/>
  <c r="L199" i="29"/>
  <c r="L65" i="29"/>
  <c r="L116" i="29"/>
  <c r="L266" i="29"/>
  <c r="L54" i="29"/>
  <c r="L86" i="29"/>
  <c r="L275" i="29"/>
  <c r="L45" i="29"/>
  <c r="H302" i="29"/>
  <c r="H303" i="29"/>
  <c r="I302" i="29"/>
  <c r="I303" i="29"/>
  <c r="L75" i="29"/>
  <c r="L280" i="29"/>
  <c r="L175" i="29"/>
  <c r="L191" i="29"/>
  <c r="L73" i="29"/>
  <c r="L278" i="29"/>
  <c r="L32" i="29"/>
  <c r="L173" i="29"/>
  <c r="L207" i="29"/>
  <c r="L95" i="29"/>
  <c r="L78" i="29"/>
  <c r="L39" i="29"/>
  <c r="L182" i="29"/>
  <c r="L198" i="29"/>
  <c r="L265" i="29"/>
  <c r="L69" i="29"/>
  <c r="L111" i="29"/>
  <c r="L148" i="29"/>
  <c r="L15" i="29"/>
  <c r="L204" i="29"/>
  <c r="L252" i="29"/>
  <c r="L42" i="29"/>
  <c r="L25" i="29"/>
  <c r="L71" i="29"/>
  <c r="L83" i="29"/>
  <c r="L56" i="29"/>
  <c r="L81" i="29"/>
  <c r="L286" i="29"/>
  <c r="L102" i="29"/>
  <c r="L222" i="29"/>
  <c r="L287" i="29"/>
  <c r="L289" i="29"/>
  <c r="L91" i="29"/>
  <c r="L64" i="29"/>
  <c r="L179" i="29"/>
  <c r="L285" i="29"/>
  <c r="L300" i="29"/>
  <c r="L89" i="29"/>
  <c r="L61" i="29"/>
  <c r="L141" i="29"/>
  <c r="L46" i="29"/>
  <c r="L127" i="29"/>
  <c r="L236" i="29"/>
  <c r="L171" i="29"/>
  <c r="L281" i="29"/>
  <c r="L296" i="29"/>
  <c r="L180" i="29"/>
  <c r="L260" i="29"/>
  <c r="L169" i="29"/>
  <c r="L185" i="29"/>
  <c r="L251" i="29"/>
  <c r="L172" i="29"/>
  <c r="L138" i="29"/>
  <c r="L35" i="29"/>
  <c r="L99" i="29"/>
  <c r="L115" i="29"/>
  <c r="L194" i="29"/>
  <c r="L226" i="29"/>
  <c r="L72" i="29"/>
  <c r="L293" i="29"/>
  <c r="L97" i="29"/>
  <c r="L113" i="29"/>
  <c r="L129" i="29"/>
  <c r="L301" i="29"/>
  <c r="L238" i="29"/>
  <c r="L93" i="29"/>
  <c r="L297" i="29"/>
  <c r="L24" i="29"/>
  <c r="L134" i="29"/>
  <c r="L150" i="29"/>
  <c r="L213" i="29"/>
  <c r="L277" i="29"/>
  <c r="L47" i="29"/>
  <c r="F303" i="29"/>
  <c r="F302" i="29"/>
  <c r="L271" i="29"/>
  <c r="L66" i="29"/>
  <c r="L82" i="29"/>
  <c r="L8" i="29"/>
  <c r="D303" i="29"/>
  <c r="D302" i="29"/>
  <c r="L109" i="29"/>
  <c r="L107" i="29"/>
  <c r="L123" i="29"/>
  <c r="L295" i="29"/>
  <c r="L80" i="29"/>
  <c r="L96" i="29"/>
  <c r="L269" i="29"/>
  <c r="L11" i="29"/>
  <c r="L105" i="29"/>
  <c r="L121" i="29"/>
  <c r="L137" i="29"/>
  <c r="L216" i="29"/>
  <c r="L267" i="29"/>
  <c r="L262" i="29"/>
  <c r="L276" i="29"/>
  <c r="L85" i="29"/>
  <c r="L274" i="29"/>
  <c r="L263" i="29"/>
  <c r="L294" i="29"/>
  <c r="L51" i="29"/>
  <c r="L131" i="29"/>
  <c r="L147" i="29"/>
  <c r="L210" i="29"/>
  <c r="L242" i="29"/>
  <c r="L88" i="29"/>
  <c r="L104" i="29"/>
  <c r="L19" i="29"/>
  <c r="L145" i="29"/>
  <c r="L224" i="29"/>
  <c r="L38" i="29"/>
  <c r="L165" i="29"/>
  <c r="L197" i="29"/>
  <c r="L229" i="29"/>
  <c r="K303" i="29"/>
  <c r="L98" i="29"/>
  <c r="L114" i="29"/>
  <c r="L130" i="29"/>
  <c r="L146" i="29"/>
  <c r="L225" i="29"/>
  <c r="E303" i="29"/>
  <c r="E302" i="29"/>
  <c r="L13" i="29"/>
  <c r="L29" i="29"/>
  <c r="L139" i="29"/>
  <c r="L186" i="29"/>
  <c r="L218" i="29"/>
  <c r="L18" i="29"/>
  <c r="L27" i="29"/>
  <c r="L153" i="29"/>
  <c r="L232" i="29"/>
  <c r="L118" i="29"/>
  <c r="L22" i="29"/>
  <c r="L283" i="29"/>
  <c r="L298" i="29"/>
  <c r="L87" i="29"/>
  <c r="L103" i="29"/>
  <c r="L60" i="29"/>
  <c r="L101" i="29"/>
  <c r="L282" i="29"/>
  <c r="L58" i="29"/>
  <c r="L279" i="29"/>
  <c r="L268" i="29"/>
  <c r="L162" i="29"/>
  <c r="L258" i="29"/>
  <c r="L10" i="29"/>
  <c r="L26" i="29"/>
  <c r="L120" i="29"/>
  <c r="L215" i="29"/>
  <c r="L160" i="29"/>
  <c r="L240" i="29"/>
  <c r="L17" i="29"/>
  <c r="L245" i="29"/>
  <c r="L20" i="29"/>
  <c r="L161" i="29"/>
  <c r="L227" i="29"/>
  <c r="G302" i="29"/>
  <c r="G303" i="29"/>
  <c r="L299" i="29"/>
  <c r="L43" i="29"/>
  <c r="L155" i="29"/>
  <c r="L202" i="29"/>
  <c r="L234" i="29"/>
  <c r="L34" i="29"/>
  <c r="L112" i="29"/>
  <c r="L128" i="29"/>
  <c r="L223" i="29"/>
  <c r="L41" i="29"/>
  <c r="L184" i="29"/>
  <c r="L248" i="29"/>
  <c r="L94" i="29"/>
  <c r="L68" i="29"/>
  <c r="L119" i="29"/>
  <c r="L214" i="29"/>
  <c r="L292" i="29"/>
  <c r="L76" i="29"/>
  <c r="L92" i="29"/>
  <c r="L108" i="29"/>
  <c r="L124" i="29"/>
  <c r="L23" i="29"/>
  <c r="L117" i="29"/>
  <c r="L196" i="29"/>
  <c r="L284" i="29"/>
  <c r="L157" i="29"/>
  <c r="L74" i="29"/>
  <c r="L40" i="29"/>
  <c r="L136" i="29"/>
  <c r="L231" i="29"/>
  <c r="L49" i="29"/>
  <c r="L192" i="29"/>
  <c r="L256" i="29"/>
  <c r="L143" i="29"/>
  <c r="L181" i="29"/>
  <c r="L190" i="29"/>
  <c r="L220" i="29"/>
  <c r="V3" i="9"/>
  <c r="I27" i="45" s="1"/>
  <c r="Q6" i="9"/>
  <c r="I3" i="9"/>
  <c r="G19" i="50"/>
  <c r="V5" i="9" s="1"/>
  <c r="G12" i="50"/>
  <c r="I15" i="45" s="1"/>
  <c r="G7" i="50"/>
  <c r="I5" i="9" s="1"/>
  <c r="Q4" i="29"/>
  <c r="U10" i="50"/>
  <c r="K5" i="29" s="1"/>
  <c r="D5" i="21"/>
  <c r="E5" i="21"/>
  <c r="G5" i="21"/>
  <c r="H5" i="21"/>
  <c r="I5" i="21"/>
  <c r="E4" i="21"/>
  <c r="F4" i="21"/>
  <c r="G4" i="21"/>
  <c r="H4" i="21"/>
  <c r="I4" i="21"/>
  <c r="J4" i="21"/>
  <c r="D4" i="21"/>
  <c r="O12" i="50"/>
  <c r="E6" i="21" s="1"/>
  <c r="P12" i="50"/>
  <c r="F6" i="21" s="1"/>
  <c r="R12" i="50"/>
  <c r="G6" i="21" s="1"/>
  <c r="S12" i="50"/>
  <c r="H6" i="21" s="1"/>
  <c r="T12" i="50"/>
  <c r="I6" i="21" s="1"/>
  <c r="U12" i="50"/>
  <c r="N12" i="50"/>
  <c r="D6" i="21" s="1"/>
  <c r="W302" i="53" l="1"/>
  <c r="S6" i="21"/>
  <c r="J6" i="21"/>
  <c r="T13" i="45" s="1"/>
  <c r="I29" i="45"/>
  <c r="I7" i="45"/>
  <c r="I9" i="45"/>
  <c r="N5" i="9"/>
  <c r="M8" i="9" s="1"/>
  <c r="N8" i="9" s="1"/>
  <c r="J5" i="21"/>
  <c r="Q3" i="29"/>
  <c r="M44" i="9" l="1"/>
  <c r="N44" i="9" s="1"/>
  <c r="M301" i="9"/>
  <c r="N301" i="9" s="1"/>
  <c r="M69" i="9"/>
  <c r="N69" i="9" s="1"/>
  <c r="M110" i="9"/>
  <c r="N110" i="9" s="1"/>
  <c r="M59" i="9"/>
  <c r="N59" i="9" s="1"/>
  <c r="M239" i="9"/>
  <c r="N239" i="9" s="1"/>
  <c r="M148" i="9"/>
  <c r="N148" i="9" s="1"/>
  <c r="M237" i="9"/>
  <c r="N237" i="9" s="1"/>
  <c r="M250" i="9"/>
  <c r="M201" i="9"/>
  <c r="N201" i="9" s="1"/>
  <c r="M298" i="9"/>
  <c r="N298" i="9" s="1"/>
  <c r="M180" i="9"/>
  <c r="N180" i="9" s="1"/>
  <c r="M106" i="9"/>
  <c r="N106" i="9" s="1"/>
  <c r="M259" i="9"/>
  <c r="N259" i="9" s="1"/>
  <c r="M184" i="9"/>
  <c r="N184" i="9" s="1"/>
  <c r="M147" i="9"/>
  <c r="N147" i="9" s="1"/>
  <c r="M81" i="9"/>
  <c r="N81" i="9" s="1"/>
  <c r="M118" i="9"/>
  <c r="N118" i="9" s="1"/>
  <c r="M152" i="9"/>
  <c r="N152" i="9" s="1"/>
  <c r="M34" i="9"/>
  <c r="N34" i="9" s="1"/>
  <c r="M285" i="9"/>
  <c r="N285" i="9" s="1"/>
  <c r="M197" i="9"/>
  <c r="N197" i="9" s="1"/>
  <c r="M61" i="9"/>
  <c r="N61" i="9" s="1"/>
  <c r="M140" i="9"/>
  <c r="N140" i="9" s="1"/>
  <c r="M272" i="9"/>
  <c r="N272" i="9" s="1"/>
  <c r="M35" i="9"/>
  <c r="N35" i="9" s="1"/>
  <c r="M185" i="9"/>
  <c r="N185" i="9" s="1"/>
  <c r="M205" i="9"/>
  <c r="N205" i="9" s="1"/>
  <c r="M176" i="9"/>
  <c r="N176" i="9" s="1"/>
  <c r="M62" i="9"/>
  <c r="N62" i="9" s="1"/>
  <c r="M231" i="9"/>
  <c r="N231" i="9" s="1"/>
  <c r="M128" i="9"/>
  <c r="N128" i="9" s="1"/>
  <c r="M275" i="9"/>
  <c r="N275" i="9" s="1"/>
  <c r="M151" i="9"/>
  <c r="N151" i="9" s="1"/>
  <c r="M165" i="9"/>
  <c r="N165" i="9" s="1"/>
  <c r="M149" i="9"/>
  <c r="N149" i="9" s="1"/>
  <c r="M53" i="9"/>
  <c r="N53" i="9" s="1"/>
  <c r="M219" i="9"/>
  <c r="N219" i="9" s="1"/>
  <c r="M132" i="9"/>
  <c r="N132" i="9" s="1"/>
  <c r="M22" i="9"/>
  <c r="N22" i="9" s="1"/>
  <c r="M226" i="9"/>
  <c r="N226" i="9" s="1"/>
  <c r="M131" i="9"/>
  <c r="N131" i="9" s="1"/>
  <c r="M21" i="9"/>
  <c r="N21" i="9" s="1"/>
  <c r="M287" i="9"/>
  <c r="N287" i="9" s="1"/>
  <c r="M177" i="9"/>
  <c r="N177" i="9" s="1"/>
  <c r="M74" i="9"/>
  <c r="N74" i="9" s="1"/>
  <c r="M173" i="9"/>
  <c r="N173" i="9" s="1"/>
  <c r="M256" i="9"/>
  <c r="N256" i="9" s="1"/>
  <c r="M168" i="9"/>
  <c r="N168" i="9" s="1"/>
  <c r="M57" i="9"/>
  <c r="N57" i="9" s="1"/>
  <c r="M220" i="9"/>
  <c r="N220" i="9" s="1"/>
  <c r="M223" i="9"/>
  <c r="N223" i="9" s="1"/>
  <c r="M112" i="9"/>
  <c r="N112" i="9" s="1"/>
  <c r="M150" i="9"/>
  <c r="N150" i="9" s="1"/>
  <c r="M262" i="9"/>
  <c r="N262" i="9" s="1"/>
  <c r="M135" i="9"/>
  <c r="N135" i="9" s="1"/>
  <c r="M172" i="9"/>
  <c r="N172" i="9" s="1"/>
  <c r="M265" i="9"/>
  <c r="N265" i="9" s="1"/>
  <c r="M30" i="9"/>
  <c r="N30" i="9" s="1"/>
  <c r="M139" i="9"/>
  <c r="N139" i="9" s="1"/>
  <c r="M294" i="9"/>
  <c r="N294" i="9" s="1"/>
  <c r="M98" i="9"/>
  <c r="N98" i="9" s="1"/>
  <c r="M270" i="9"/>
  <c r="N270" i="9" s="1"/>
  <c r="M65" i="9"/>
  <c r="N65" i="9" s="1"/>
  <c r="M276" i="9"/>
  <c r="N276" i="9" s="1"/>
  <c r="M134" i="9"/>
  <c r="N134" i="9" s="1"/>
  <c r="M133" i="9"/>
  <c r="N133" i="9" s="1"/>
  <c r="M45" i="9"/>
  <c r="N45" i="9" s="1"/>
  <c r="M211" i="9"/>
  <c r="N211" i="9" s="1"/>
  <c r="M108" i="9"/>
  <c r="N108" i="9" s="1"/>
  <c r="M14" i="9"/>
  <c r="N14" i="9" s="1"/>
  <c r="M210" i="9"/>
  <c r="N210" i="9" s="1"/>
  <c r="M123" i="9"/>
  <c r="N123" i="9" s="1"/>
  <c r="M13" i="9"/>
  <c r="N13" i="9" s="1"/>
  <c r="M263" i="9"/>
  <c r="N263" i="9" s="1"/>
  <c r="M169" i="9"/>
  <c r="N169" i="9" s="1"/>
  <c r="M58" i="9"/>
  <c r="N58" i="9" s="1"/>
  <c r="M126" i="9"/>
  <c r="N126" i="9" s="1"/>
  <c r="M248" i="9"/>
  <c r="N248" i="9" s="1"/>
  <c r="M145" i="9"/>
  <c r="N145" i="9" s="1"/>
  <c r="M49" i="9"/>
  <c r="N49" i="9" s="1"/>
  <c r="M288" i="9"/>
  <c r="N288" i="9" s="1"/>
  <c r="M215" i="9"/>
  <c r="N215" i="9" s="1"/>
  <c r="M104" i="9"/>
  <c r="N104" i="9" s="1"/>
  <c r="M24" i="9"/>
  <c r="N24" i="9" s="1"/>
  <c r="M254" i="9"/>
  <c r="N254" i="9" s="1"/>
  <c r="M127" i="9"/>
  <c r="N127" i="9" s="1"/>
  <c r="M125" i="9"/>
  <c r="N125" i="9" s="1"/>
  <c r="M203" i="9"/>
  <c r="N203" i="9" s="1"/>
  <c r="M267" i="9"/>
  <c r="N267" i="9" s="1"/>
  <c r="M99" i="9"/>
  <c r="N99" i="9" s="1"/>
  <c r="M249" i="9"/>
  <c r="N249" i="9" s="1"/>
  <c r="M50" i="9"/>
  <c r="N50" i="9" s="1"/>
  <c r="M46" i="9"/>
  <c r="N46" i="9" s="1"/>
  <c r="M240" i="9"/>
  <c r="N240" i="9" s="1"/>
  <c r="M129" i="9"/>
  <c r="N129" i="9" s="1"/>
  <c r="M264" i="9"/>
  <c r="N264" i="9" s="1"/>
  <c r="M191" i="9"/>
  <c r="N191" i="9" s="1"/>
  <c r="M96" i="9"/>
  <c r="N96" i="9" s="1"/>
  <c r="M266" i="9"/>
  <c r="N266" i="9" s="1"/>
  <c r="M246" i="9"/>
  <c r="N246" i="9" s="1"/>
  <c r="M119" i="9"/>
  <c r="N119" i="9" s="1"/>
  <c r="M54" i="9"/>
  <c r="N54" i="9" s="1"/>
  <c r="M117" i="9"/>
  <c r="N117" i="9" s="1"/>
  <c r="M291" i="9"/>
  <c r="N291" i="9" s="1"/>
  <c r="M195" i="9"/>
  <c r="N195" i="9" s="1"/>
  <c r="M84" i="9"/>
  <c r="N84" i="9" s="1"/>
  <c r="M32" i="9"/>
  <c r="N32" i="9" s="1"/>
  <c r="M194" i="9"/>
  <c r="N194" i="9" s="1"/>
  <c r="M83" i="9"/>
  <c r="N83" i="9" s="1"/>
  <c r="M158" i="9"/>
  <c r="N158" i="9" s="1"/>
  <c r="M241" i="9"/>
  <c r="N241" i="9" s="1"/>
  <c r="M138" i="9"/>
  <c r="N138" i="9" s="1"/>
  <c r="M42" i="9"/>
  <c r="N42" i="9" s="1"/>
  <c r="M212" i="9"/>
  <c r="N212" i="9" s="1"/>
  <c r="M232" i="9"/>
  <c r="N232" i="9" s="1"/>
  <c r="M121" i="9"/>
  <c r="N121" i="9" s="1"/>
  <c r="M19" i="9"/>
  <c r="N19" i="9" s="1"/>
  <c r="M293" i="9"/>
  <c r="N293" i="9" s="1"/>
  <c r="M175" i="9"/>
  <c r="N175" i="9" s="1"/>
  <c r="M64" i="9"/>
  <c r="N64" i="9" s="1"/>
  <c r="M295" i="9"/>
  <c r="N295" i="9" s="1"/>
  <c r="M214" i="9"/>
  <c r="N214" i="9" s="1"/>
  <c r="M87" i="9"/>
  <c r="N87" i="9" s="1"/>
  <c r="M182" i="9"/>
  <c r="N182" i="9" s="1"/>
  <c r="M102" i="9"/>
  <c r="N102" i="9" s="1"/>
  <c r="M23" i="9"/>
  <c r="N23" i="9" s="1"/>
  <c r="M92" i="9"/>
  <c r="N92" i="9" s="1"/>
  <c r="M202" i="9"/>
  <c r="N202" i="9" s="1"/>
  <c r="M261" i="9"/>
  <c r="N261" i="9" s="1"/>
  <c r="M161" i="9"/>
  <c r="N161" i="9" s="1"/>
  <c r="M41" i="9"/>
  <c r="N41" i="9" s="1"/>
  <c r="M228" i="9"/>
  <c r="N228" i="9" s="1"/>
  <c r="M109" i="9"/>
  <c r="N109" i="9" s="1"/>
  <c r="M229" i="9"/>
  <c r="N229" i="9" s="1"/>
  <c r="M171" i="9"/>
  <c r="N171" i="9" s="1"/>
  <c r="M76" i="9"/>
  <c r="N76" i="9" s="1"/>
  <c r="M204" i="9"/>
  <c r="N204" i="9" s="1"/>
  <c r="M186" i="9"/>
  <c r="N186" i="9" s="1"/>
  <c r="M75" i="9"/>
  <c r="N75" i="9" s="1"/>
  <c r="M236" i="9"/>
  <c r="N236" i="9" s="1"/>
  <c r="M233" i="9"/>
  <c r="N233" i="9" s="1"/>
  <c r="M122" i="9"/>
  <c r="N122" i="9" s="1"/>
  <c r="M235" i="9"/>
  <c r="N235" i="9" s="1"/>
  <c r="M208" i="9"/>
  <c r="N208" i="9" s="1"/>
  <c r="M113" i="9"/>
  <c r="N113" i="9" s="1"/>
  <c r="M245" i="9"/>
  <c r="N245" i="9" s="1"/>
  <c r="M277" i="9"/>
  <c r="N277" i="9" s="1"/>
  <c r="M167" i="9"/>
  <c r="N167" i="9" s="1"/>
  <c r="M48" i="9"/>
  <c r="N48" i="9" s="1"/>
  <c r="M198" i="9"/>
  <c r="N198" i="9" s="1"/>
  <c r="M71" i="9"/>
  <c r="N71" i="9" s="1"/>
  <c r="M188" i="9"/>
  <c r="N188" i="9" s="1"/>
  <c r="M85" i="9"/>
  <c r="N85" i="9" s="1"/>
  <c r="M181" i="9"/>
  <c r="N181" i="9" s="1"/>
  <c r="M156" i="9"/>
  <c r="N156" i="9" s="1"/>
  <c r="M68" i="9"/>
  <c r="N68" i="9" s="1"/>
  <c r="M281" i="9"/>
  <c r="N281" i="9" s="1"/>
  <c r="M162" i="9"/>
  <c r="N162" i="9" s="1"/>
  <c r="M67" i="9"/>
  <c r="N67" i="9" s="1"/>
  <c r="M243" i="9"/>
  <c r="N243" i="9" s="1"/>
  <c r="M225" i="9"/>
  <c r="N225" i="9" s="1"/>
  <c r="M114" i="9"/>
  <c r="N114" i="9" s="1"/>
  <c r="M12" i="9"/>
  <c r="N12" i="9" s="1"/>
  <c r="M280" i="9"/>
  <c r="N280" i="9" s="1"/>
  <c r="M192" i="9"/>
  <c r="N192" i="9" s="1"/>
  <c r="M105" i="9"/>
  <c r="N105" i="9" s="1"/>
  <c r="M189" i="9"/>
  <c r="N189" i="9" s="1"/>
  <c r="M255" i="9"/>
  <c r="N255" i="9" s="1"/>
  <c r="M159" i="9"/>
  <c r="N159" i="9" s="1"/>
  <c r="M40" i="9"/>
  <c r="N40" i="9" s="1"/>
  <c r="M300" i="9"/>
  <c r="N300" i="9" s="1"/>
  <c r="M190" i="9"/>
  <c r="N190" i="9" s="1"/>
  <c r="M63" i="9"/>
  <c r="N63" i="9" s="1"/>
  <c r="M55" i="9"/>
  <c r="N55" i="9" s="1"/>
  <c r="M88" i="9"/>
  <c r="N88" i="9" s="1"/>
  <c r="M196" i="9"/>
  <c r="N196" i="9" s="1"/>
  <c r="M238" i="9"/>
  <c r="N238" i="9" s="1"/>
  <c r="M47" i="9"/>
  <c r="N47" i="9" s="1"/>
  <c r="M86" i="9"/>
  <c r="N86" i="9" s="1"/>
  <c r="M164" i="9"/>
  <c r="N164" i="9" s="1"/>
  <c r="M101" i="9"/>
  <c r="N101" i="9" s="1"/>
  <c r="M37" i="9"/>
  <c r="N37" i="9" s="1"/>
  <c r="M38" i="9"/>
  <c r="N38" i="9" s="1"/>
  <c r="M187" i="9"/>
  <c r="N187" i="9" s="1"/>
  <c r="M124" i="9"/>
  <c r="N124" i="9" s="1"/>
  <c r="M60" i="9"/>
  <c r="N60" i="9" s="1"/>
  <c r="M213" i="9"/>
  <c r="N213" i="9" s="1"/>
  <c r="M242" i="9"/>
  <c r="N242" i="9" s="1"/>
  <c r="M178" i="9"/>
  <c r="N178" i="9" s="1"/>
  <c r="M115" i="9"/>
  <c r="N115" i="9" s="1"/>
  <c r="M51" i="9"/>
  <c r="N51" i="9" s="1"/>
  <c r="M16" i="9"/>
  <c r="N16" i="9" s="1"/>
  <c r="M279" i="9"/>
  <c r="N279" i="9" s="1"/>
  <c r="M217" i="9"/>
  <c r="N217" i="9" s="1"/>
  <c r="M154" i="9"/>
  <c r="N154" i="9" s="1"/>
  <c r="M90" i="9"/>
  <c r="N90" i="9" s="1"/>
  <c r="M28" i="9"/>
  <c r="N28" i="9" s="1"/>
  <c r="M94" i="9"/>
  <c r="N94" i="9" s="1"/>
  <c r="M286" i="9"/>
  <c r="N286" i="9" s="1"/>
  <c r="M224" i="9"/>
  <c r="N224" i="9" s="1"/>
  <c r="M160" i="9"/>
  <c r="N160" i="9" s="1"/>
  <c r="M97" i="9"/>
  <c r="N97" i="9" s="1"/>
  <c r="M297" i="9"/>
  <c r="N297" i="9" s="1"/>
  <c r="M269" i="9"/>
  <c r="N269" i="9" s="1"/>
  <c r="M207" i="9"/>
  <c r="N207" i="9" s="1"/>
  <c r="M144" i="9"/>
  <c r="N144" i="9" s="1"/>
  <c r="M80" i="9"/>
  <c r="N80" i="9" s="1"/>
  <c r="M18" i="9"/>
  <c r="N18" i="9" s="1"/>
  <c r="M289" i="9"/>
  <c r="N289" i="9" s="1"/>
  <c r="M292" i="9"/>
  <c r="N292" i="9" s="1"/>
  <c r="M230" i="9"/>
  <c r="N230" i="9" s="1"/>
  <c r="M166" i="9"/>
  <c r="N166" i="9" s="1"/>
  <c r="M103" i="9"/>
  <c r="N103" i="9" s="1"/>
  <c r="M39" i="9"/>
  <c r="N39" i="9" s="1"/>
  <c r="M26" i="9"/>
  <c r="N26" i="9" s="1"/>
  <c r="M299" i="9"/>
  <c r="N299" i="9" s="1"/>
  <c r="M174" i="9"/>
  <c r="N174" i="9" s="1"/>
  <c r="M111" i="9"/>
  <c r="N111" i="9" s="1"/>
  <c r="M70" i="9"/>
  <c r="N70" i="9" s="1"/>
  <c r="M157" i="9"/>
  <c r="N157" i="9" s="1"/>
  <c r="M93" i="9"/>
  <c r="N93" i="9" s="1"/>
  <c r="M31" i="9"/>
  <c r="N31" i="9" s="1"/>
  <c r="M290" i="9"/>
  <c r="N290" i="9" s="1"/>
  <c r="M179" i="9"/>
  <c r="N179" i="9" s="1"/>
  <c r="M116" i="9"/>
  <c r="N116" i="9" s="1"/>
  <c r="M52" i="9"/>
  <c r="N52" i="9" s="1"/>
  <c r="M142" i="9"/>
  <c r="N142" i="9" s="1"/>
  <c r="M234" i="9"/>
  <c r="N234" i="9" s="1"/>
  <c r="M170" i="9"/>
  <c r="N170" i="9" s="1"/>
  <c r="M107" i="9"/>
  <c r="N107" i="9" s="1"/>
  <c r="M43" i="9"/>
  <c r="N43" i="9" s="1"/>
  <c r="M282" i="9"/>
  <c r="N282" i="9" s="1"/>
  <c r="M271" i="9"/>
  <c r="N271" i="9" s="1"/>
  <c r="M209" i="9"/>
  <c r="N209" i="9" s="1"/>
  <c r="M146" i="9"/>
  <c r="N146" i="9" s="1"/>
  <c r="M82" i="9"/>
  <c r="N82" i="9" s="1"/>
  <c r="M20" i="9"/>
  <c r="N20" i="9" s="1"/>
  <c r="M78" i="9"/>
  <c r="N78" i="9" s="1"/>
  <c r="M278" i="9"/>
  <c r="N278" i="9" s="1"/>
  <c r="M216" i="9"/>
  <c r="N216" i="9" s="1"/>
  <c r="M153" i="9"/>
  <c r="N153" i="9" s="1"/>
  <c r="M89" i="9"/>
  <c r="N89" i="9" s="1"/>
  <c r="M27" i="9"/>
  <c r="N27" i="9" s="1"/>
  <c r="M244" i="9"/>
  <c r="N244" i="9" s="1"/>
  <c r="M199" i="9"/>
  <c r="N199" i="9" s="1"/>
  <c r="M136" i="9"/>
  <c r="N136" i="9" s="1"/>
  <c r="M72" i="9"/>
  <c r="N72" i="9" s="1"/>
  <c r="M10" i="9"/>
  <c r="N10" i="9" s="1"/>
  <c r="M273" i="9"/>
  <c r="N273" i="9" s="1"/>
  <c r="M284" i="9"/>
  <c r="N284" i="9" s="1"/>
  <c r="M222" i="9"/>
  <c r="N222" i="9" s="1"/>
  <c r="M95" i="9"/>
  <c r="N95" i="9" s="1"/>
  <c r="M33" i="9"/>
  <c r="N33" i="9" s="1"/>
  <c r="M25" i="9"/>
  <c r="N25" i="9" s="1"/>
  <c r="M253" i="9"/>
  <c r="N253" i="9" s="1"/>
  <c r="M274" i="9"/>
  <c r="N274" i="9" s="1"/>
  <c r="M141" i="9"/>
  <c r="N141" i="9" s="1"/>
  <c r="M77" i="9"/>
  <c r="N77" i="9" s="1"/>
  <c r="M15" i="9"/>
  <c r="N15" i="9" s="1"/>
  <c r="M227" i="9"/>
  <c r="N227" i="9" s="1"/>
  <c r="M163" i="9"/>
  <c r="N163" i="9" s="1"/>
  <c r="M100" i="9"/>
  <c r="N100" i="9" s="1"/>
  <c r="M36" i="9"/>
  <c r="N36" i="9" s="1"/>
  <c r="M260" i="9"/>
  <c r="N260" i="9" s="1"/>
  <c r="M218" i="9"/>
  <c r="N218" i="9" s="1"/>
  <c r="M155" i="9"/>
  <c r="N155" i="9" s="1"/>
  <c r="M91" i="9"/>
  <c r="N91" i="9" s="1"/>
  <c r="M29" i="9"/>
  <c r="N29" i="9" s="1"/>
  <c r="M296" i="9"/>
  <c r="N296" i="9" s="1"/>
  <c r="M257" i="9"/>
  <c r="N257" i="9" s="1"/>
  <c r="M193" i="9"/>
  <c r="N193" i="9" s="1"/>
  <c r="M130" i="9"/>
  <c r="N130" i="9" s="1"/>
  <c r="M66" i="9"/>
  <c r="N66" i="9" s="1"/>
  <c r="M283" i="9"/>
  <c r="N283" i="9" s="1"/>
  <c r="M252" i="9"/>
  <c r="N252" i="9" s="1"/>
  <c r="M200" i="9"/>
  <c r="N200" i="9" s="1"/>
  <c r="M137" i="9"/>
  <c r="N137" i="9" s="1"/>
  <c r="M73" i="9"/>
  <c r="N73" i="9" s="1"/>
  <c r="M11" i="9"/>
  <c r="N11" i="9" s="1"/>
  <c r="M251" i="9"/>
  <c r="N251" i="9" s="1"/>
  <c r="M247" i="9"/>
  <c r="N247" i="9" s="1"/>
  <c r="M183" i="9"/>
  <c r="N183" i="9" s="1"/>
  <c r="M120" i="9"/>
  <c r="N120" i="9" s="1"/>
  <c r="M56" i="9"/>
  <c r="N56" i="9" s="1"/>
  <c r="M221" i="9"/>
  <c r="N221" i="9" s="1"/>
  <c r="M258" i="9"/>
  <c r="N258" i="9" s="1"/>
  <c r="M268" i="9"/>
  <c r="N268" i="9" s="1"/>
  <c r="M206" i="9"/>
  <c r="N206" i="9" s="1"/>
  <c r="M143" i="9"/>
  <c r="N143" i="9" s="1"/>
  <c r="M79" i="9"/>
  <c r="N79" i="9" s="1"/>
  <c r="M17" i="9"/>
  <c r="N17" i="9" s="1"/>
  <c r="M9" i="9"/>
  <c r="N9" i="9" s="1"/>
  <c r="S6" i="3"/>
  <c r="K6" i="3"/>
  <c r="G6" i="3"/>
  <c r="N250" i="9" l="1"/>
  <c r="N2" i="9" s="1"/>
  <c r="N15" i="45"/>
  <c r="N19" i="45" s="1"/>
  <c r="I19" i="45" s="1"/>
  <c r="N302" i="2"/>
  <c r="Q6" i="29" l="1"/>
  <c r="U30" i="45"/>
  <c r="R6" i="29"/>
  <c r="T8" i="45" l="1"/>
  <c r="T9" i="45"/>
  <c r="T10" i="45"/>
  <c r="T11" i="45"/>
  <c r="T12" i="45"/>
  <c r="T7" i="45"/>
  <c r="V9" i="2" l="1"/>
  <c r="V8" i="2"/>
  <c r="F302" i="2"/>
  <c r="S6" i="29"/>
  <c r="P37" i="45" l="1"/>
  <c r="H8" i="55" l="1"/>
  <c r="K302" i="2"/>
  <c r="L302" i="2"/>
  <c r="R297" i="3" l="1"/>
  <c r="R288" i="3"/>
  <c r="R278" i="3"/>
  <c r="R266" i="3"/>
  <c r="R258" i="3"/>
  <c r="R246" i="3"/>
  <c r="R234" i="3"/>
  <c r="R226" i="3"/>
  <c r="R216" i="3"/>
  <c r="R204" i="3"/>
  <c r="R194" i="3"/>
  <c r="R184" i="3"/>
  <c r="R174" i="3"/>
  <c r="R164" i="3"/>
  <c r="R153" i="3"/>
  <c r="R143" i="3"/>
  <c r="R137" i="3"/>
  <c r="R131" i="3"/>
  <c r="R129" i="3"/>
  <c r="R123" i="3"/>
  <c r="R119" i="3"/>
  <c r="R115" i="3"/>
  <c r="R113" i="3"/>
  <c r="R111" i="3"/>
  <c r="R109" i="3"/>
  <c r="R107" i="3"/>
  <c r="R105" i="3"/>
  <c r="R103" i="3"/>
  <c r="R101" i="3"/>
  <c r="R99" i="3"/>
  <c r="R97" i="3"/>
  <c r="R95" i="3"/>
  <c r="R93" i="3"/>
  <c r="R91" i="3"/>
  <c r="R89" i="3"/>
  <c r="R87" i="3"/>
  <c r="R85" i="3"/>
  <c r="R83" i="3"/>
  <c r="R81" i="3"/>
  <c r="R79" i="3"/>
  <c r="R77" i="3"/>
  <c r="R75" i="3"/>
  <c r="R73" i="3"/>
  <c r="R71" i="3"/>
  <c r="R69" i="3"/>
  <c r="R67" i="3"/>
  <c r="R65" i="3"/>
  <c r="R63" i="3"/>
  <c r="R61" i="3"/>
  <c r="R59" i="3"/>
  <c r="R57" i="3"/>
  <c r="R55" i="3"/>
  <c r="R53" i="3"/>
  <c r="R51" i="3"/>
  <c r="R49" i="3"/>
  <c r="R47" i="3"/>
  <c r="R45" i="3"/>
  <c r="R43" i="3"/>
  <c r="R41" i="3"/>
  <c r="R39" i="3"/>
  <c r="R37" i="3"/>
  <c r="R35" i="3"/>
  <c r="R33" i="3"/>
  <c r="R31" i="3"/>
  <c r="R29" i="3"/>
  <c r="R27" i="3"/>
  <c r="R25" i="3"/>
  <c r="R23" i="3"/>
  <c r="R21" i="3"/>
  <c r="R19" i="3"/>
  <c r="R17" i="3"/>
  <c r="R15" i="3"/>
  <c r="R13" i="3"/>
  <c r="R11" i="3"/>
  <c r="R9" i="3"/>
  <c r="R280" i="3"/>
  <c r="R270" i="3"/>
  <c r="R262" i="3"/>
  <c r="R252" i="3"/>
  <c r="R242" i="3"/>
  <c r="R232" i="3"/>
  <c r="R222" i="3"/>
  <c r="R212" i="3"/>
  <c r="R206" i="3"/>
  <c r="R198" i="3"/>
  <c r="R188" i="3"/>
  <c r="R178" i="3"/>
  <c r="R168" i="3"/>
  <c r="R149" i="3"/>
  <c r="R139" i="3"/>
  <c r="R121" i="3"/>
  <c r="R295" i="3"/>
  <c r="R286" i="3"/>
  <c r="R276" i="3"/>
  <c r="R268" i="3"/>
  <c r="R260" i="3"/>
  <c r="R250" i="3"/>
  <c r="R240" i="3"/>
  <c r="R230" i="3"/>
  <c r="R220" i="3"/>
  <c r="R210" i="3"/>
  <c r="R200" i="3"/>
  <c r="R190" i="3"/>
  <c r="R182" i="3"/>
  <c r="R172" i="3"/>
  <c r="R162" i="3"/>
  <c r="R155" i="3"/>
  <c r="R145" i="3"/>
  <c r="R135" i="3"/>
  <c r="R117" i="3"/>
  <c r="R301" i="3"/>
  <c r="R292" i="3"/>
  <c r="R282" i="3"/>
  <c r="R272" i="3"/>
  <c r="R254" i="3"/>
  <c r="R244" i="3"/>
  <c r="R236" i="3"/>
  <c r="R224" i="3"/>
  <c r="R214" i="3"/>
  <c r="R202" i="3"/>
  <c r="R192" i="3"/>
  <c r="R180" i="3"/>
  <c r="R170" i="3"/>
  <c r="R160" i="3"/>
  <c r="R151" i="3"/>
  <c r="R141" i="3"/>
  <c r="R133" i="3"/>
  <c r="R125" i="3"/>
  <c r="P302" i="3"/>
  <c r="R299" i="3"/>
  <c r="R290" i="3"/>
  <c r="R284" i="3"/>
  <c r="R274" i="3"/>
  <c r="R264" i="3"/>
  <c r="R256" i="3"/>
  <c r="R248" i="3"/>
  <c r="R238" i="3"/>
  <c r="R228" i="3"/>
  <c r="R218" i="3"/>
  <c r="R208" i="3"/>
  <c r="R196" i="3"/>
  <c r="R186" i="3"/>
  <c r="R176" i="3"/>
  <c r="R166" i="3"/>
  <c r="R157" i="3"/>
  <c r="R147" i="3"/>
  <c r="R127" i="3"/>
  <c r="R296" i="3"/>
  <c r="R289" i="3"/>
  <c r="R281" i="3"/>
  <c r="R273" i="3"/>
  <c r="R265" i="3"/>
  <c r="R259" i="3"/>
  <c r="R251" i="3"/>
  <c r="R243" i="3"/>
  <c r="R235" i="3"/>
  <c r="R227" i="3"/>
  <c r="R219" i="3"/>
  <c r="R211" i="3"/>
  <c r="R203" i="3"/>
  <c r="R195" i="3"/>
  <c r="R187" i="3"/>
  <c r="R179" i="3"/>
  <c r="R171" i="3"/>
  <c r="R163" i="3"/>
  <c r="R156" i="3"/>
  <c r="R148" i="3"/>
  <c r="R140" i="3"/>
  <c r="R132" i="3"/>
  <c r="R124" i="3"/>
  <c r="R116" i="3"/>
  <c r="R108" i="3"/>
  <c r="R100" i="3"/>
  <c r="R92" i="3"/>
  <c r="R84" i="3"/>
  <c r="R76" i="3"/>
  <c r="R68" i="3"/>
  <c r="R60" i="3"/>
  <c r="R52" i="3"/>
  <c r="R44" i="3"/>
  <c r="O302" i="3"/>
  <c r="R36" i="3"/>
  <c r="R30" i="3"/>
  <c r="R22" i="3"/>
  <c r="R14" i="3"/>
  <c r="R298" i="3"/>
  <c r="R291" i="3"/>
  <c r="R283" i="3"/>
  <c r="R275" i="3"/>
  <c r="R267" i="3"/>
  <c r="R261" i="3"/>
  <c r="R253" i="3"/>
  <c r="R247" i="3"/>
  <c r="R239" i="3"/>
  <c r="R231" i="3"/>
  <c r="R223" i="3"/>
  <c r="R217" i="3"/>
  <c r="R209" i="3"/>
  <c r="R201" i="3"/>
  <c r="R193" i="3"/>
  <c r="R185" i="3"/>
  <c r="R183" i="3"/>
  <c r="R173" i="3"/>
  <c r="R167" i="3"/>
  <c r="R158" i="3"/>
  <c r="R152" i="3"/>
  <c r="R142" i="3"/>
  <c r="R136" i="3"/>
  <c r="R128" i="3"/>
  <c r="R120" i="3"/>
  <c r="R114" i="3"/>
  <c r="R102" i="3"/>
  <c r="R88" i="3"/>
  <c r="R294" i="3"/>
  <c r="R287" i="3"/>
  <c r="R279" i="3"/>
  <c r="R269" i="3"/>
  <c r="R255" i="3"/>
  <c r="R245" i="3"/>
  <c r="R237" i="3"/>
  <c r="R229" i="3"/>
  <c r="R215" i="3"/>
  <c r="R207" i="3"/>
  <c r="R199" i="3"/>
  <c r="R191" i="3"/>
  <c r="R177" i="3"/>
  <c r="R169" i="3"/>
  <c r="R161" i="3"/>
  <c r="R154" i="3"/>
  <c r="R146" i="3"/>
  <c r="R138" i="3"/>
  <c r="R130" i="3"/>
  <c r="R122" i="3"/>
  <c r="R112" i="3"/>
  <c r="R104" i="3"/>
  <c r="R96" i="3"/>
  <c r="R90" i="3"/>
  <c r="R82" i="3"/>
  <c r="R80" i="3"/>
  <c r="R78" i="3"/>
  <c r="R72" i="3"/>
  <c r="R70" i="3"/>
  <c r="R66" i="3"/>
  <c r="R64" i="3"/>
  <c r="R62" i="3"/>
  <c r="R58" i="3"/>
  <c r="R56" i="3"/>
  <c r="R54" i="3"/>
  <c r="R50" i="3"/>
  <c r="R48" i="3"/>
  <c r="R46" i="3"/>
  <c r="R42" i="3"/>
  <c r="R40" i="3"/>
  <c r="R38" i="3"/>
  <c r="R34" i="3"/>
  <c r="R32" i="3"/>
  <c r="R28" i="3"/>
  <c r="R26" i="3"/>
  <c r="R24" i="3"/>
  <c r="R20" i="3"/>
  <c r="R18" i="3"/>
  <c r="R16" i="3"/>
  <c r="R12" i="3"/>
  <c r="R10" i="3"/>
  <c r="R300" i="3"/>
  <c r="R293" i="3"/>
  <c r="R285" i="3"/>
  <c r="R277" i="3"/>
  <c r="R271" i="3"/>
  <c r="R263" i="3"/>
  <c r="R257" i="3"/>
  <c r="R249" i="3"/>
  <c r="R241" i="3"/>
  <c r="R233" i="3"/>
  <c r="R225" i="3"/>
  <c r="R221" i="3"/>
  <c r="R213" i="3"/>
  <c r="R205" i="3"/>
  <c r="R197" i="3"/>
  <c r="R189" i="3"/>
  <c r="R181" i="3"/>
  <c r="R175" i="3"/>
  <c r="R165" i="3"/>
  <c r="R159" i="3"/>
  <c r="R150" i="3"/>
  <c r="R144" i="3"/>
  <c r="R134" i="3"/>
  <c r="R126" i="3"/>
  <c r="R118" i="3"/>
  <c r="R110" i="3"/>
  <c r="R106" i="3"/>
  <c r="R98" i="3"/>
  <c r="R94" i="3"/>
  <c r="R86" i="3"/>
  <c r="R74" i="3"/>
  <c r="N302" i="3"/>
  <c r="R302" i="2" l="1"/>
  <c r="Q302" i="2"/>
  <c r="M302" i="29" l="1"/>
  <c r="V10" i="2" l="1"/>
  <c r="V11" i="2"/>
  <c r="V12" i="2"/>
  <c r="V13" i="2"/>
  <c r="V14" i="2"/>
  <c r="V15" i="2"/>
  <c r="V16" i="2"/>
  <c r="V17" i="2"/>
  <c r="V18" i="2"/>
  <c r="V19" i="2"/>
  <c r="V20" i="2"/>
  <c r="V21" i="2"/>
  <c r="V22" i="2"/>
  <c r="V23" i="2"/>
  <c r="V24" i="2"/>
  <c r="V25" i="2"/>
  <c r="V26" i="2"/>
  <c r="V27" i="2"/>
  <c r="V28" i="2"/>
  <c r="V29" i="2"/>
  <c r="V30" i="2"/>
  <c r="V31" i="2"/>
  <c r="V32" i="2"/>
  <c r="V33" i="2"/>
  <c r="V34" i="2"/>
  <c r="V35" i="2"/>
  <c r="V36" i="2"/>
  <c r="V37" i="2"/>
  <c r="V38" i="2"/>
  <c r="V39" i="2"/>
  <c r="V40" i="2"/>
  <c r="V41" i="2"/>
  <c r="V42" i="2"/>
  <c r="V43" i="2"/>
  <c r="V44" i="2"/>
  <c r="V45" i="2"/>
  <c r="V46" i="2"/>
  <c r="V47" i="2"/>
  <c r="V48" i="2"/>
  <c r="V49" i="2"/>
  <c r="V50" i="2"/>
  <c r="V51" i="2"/>
  <c r="V52" i="2"/>
  <c r="V53" i="2"/>
  <c r="V54" i="2"/>
  <c r="V55" i="2"/>
  <c r="V56" i="2"/>
  <c r="V57" i="2"/>
  <c r="V58" i="2"/>
  <c r="V59" i="2"/>
  <c r="V60" i="2"/>
  <c r="V61" i="2"/>
  <c r="V62" i="2"/>
  <c r="V63" i="2"/>
  <c r="V64" i="2"/>
  <c r="V65" i="2"/>
  <c r="V66" i="2"/>
  <c r="V67" i="2"/>
  <c r="V68" i="2"/>
  <c r="V69" i="2"/>
  <c r="V70" i="2"/>
  <c r="V71" i="2"/>
  <c r="V72" i="2"/>
  <c r="V73" i="2"/>
  <c r="V74" i="2"/>
  <c r="V75" i="2"/>
  <c r="V76" i="2"/>
  <c r="V77" i="2"/>
  <c r="V78" i="2"/>
  <c r="V79" i="2"/>
  <c r="V80" i="2"/>
  <c r="V81" i="2"/>
  <c r="V82" i="2"/>
  <c r="V83" i="2"/>
  <c r="V84" i="2"/>
  <c r="V85" i="2"/>
  <c r="V86" i="2"/>
  <c r="V87" i="2"/>
  <c r="V88" i="2"/>
  <c r="V89" i="2"/>
  <c r="V90" i="2"/>
  <c r="V91" i="2"/>
  <c r="V92" i="2"/>
  <c r="V93" i="2"/>
  <c r="V94" i="2"/>
  <c r="V95" i="2"/>
  <c r="V96" i="2"/>
  <c r="V97" i="2"/>
  <c r="V98" i="2"/>
  <c r="V99" i="2"/>
  <c r="V100" i="2"/>
  <c r="V101" i="2"/>
  <c r="V102" i="2"/>
  <c r="V103" i="2"/>
  <c r="V104" i="2"/>
  <c r="V105" i="2"/>
  <c r="V106" i="2"/>
  <c r="V107" i="2"/>
  <c r="V108" i="2"/>
  <c r="V109" i="2"/>
  <c r="V110" i="2"/>
  <c r="V111" i="2"/>
  <c r="V112" i="2"/>
  <c r="V113" i="2"/>
  <c r="V114" i="2"/>
  <c r="V115" i="2"/>
  <c r="V116" i="2"/>
  <c r="V117" i="2"/>
  <c r="V118" i="2"/>
  <c r="V119" i="2"/>
  <c r="V120" i="2"/>
  <c r="V121" i="2"/>
  <c r="V122" i="2"/>
  <c r="V123" i="2"/>
  <c r="V124" i="2"/>
  <c r="V125" i="2"/>
  <c r="V126" i="2"/>
  <c r="V127" i="2"/>
  <c r="V128" i="2"/>
  <c r="V129" i="2"/>
  <c r="V130" i="2"/>
  <c r="V131" i="2"/>
  <c r="V132" i="2"/>
  <c r="V133" i="2"/>
  <c r="V134" i="2"/>
  <c r="V135" i="2"/>
  <c r="V136" i="2"/>
  <c r="V137" i="2"/>
  <c r="V138" i="2"/>
  <c r="V139" i="2"/>
  <c r="V140" i="2"/>
  <c r="V141" i="2"/>
  <c r="V142" i="2"/>
  <c r="V143" i="2"/>
  <c r="V144" i="2"/>
  <c r="V145" i="2"/>
  <c r="V146" i="2"/>
  <c r="V147" i="2"/>
  <c r="V148" i="2"/>
  <c r="V149" i="2"/>
  <c r="V150" i="2"/>
  <c r="V151" i="2"/>
  <c r="V152" i="2"/>
  <c r="V153" i="2"/>
  <c r="V154" i="2"/>
  <c r="V155" i="2"/>
  <c r="V156" i="2"/>
  <c r="V157" i="2"/>
  <c r="V158" i="2"/>
  <c r="V159" i="2"/>
  <c r="V160" i="2"/>
  <c r="V161" i="2"/>
  <c r="V162" i="2"/>
  <c r="V163" i="2"/>
  <c r="V164" i="2"/>
  <c r="V165" i="2"/>
  <c r="V166" i="2"/>
  <c r="V167" i="2"/>
  <c r="V168" i="2"/>
  <c r="V169" i="2"/>
  <c r="V170" i="2"/>
  <c r="V171" i="2"/>
  <c r="V172" i="2"/>
  <c r="V173" i="2"/>
  <c r="V174" i="2"/>
  <c r="V175" i="2"/>
  <c r="V176" i="2"/>
  <c r="V177" i="2"/>
  <c r="V178" i="2"/>
  <c r="V179" i="2"/>
  <c r="V180" i="2"/>
  <c r="V181" i="2"/>
  <c r="V182" i="2"/>
  <c r="V183" i="2"/>
  <c r="V184" i="2"/>
  <c r="V185" i="2"/>
  <c r="V186" i="2"/>
  <c r="V187" i="2"/>
  <c r="V188" i="2"/>
  <c r="V189" i="2"/>
  <c r="V190" i="2"/>
  <c r="V191" i="2"/>
  <c r="V192" i="2"/>
  <c r="V193" i="2"/>
  <c r="V194" i="2"/>
  <c r="V195" i="2"/>
  <c r="V196" i="2"/>
  <c r="V197" i="2"/>
  <c r="V198" i="2"/>
  <c r="V199" i="2"/>
  <c r="V200" i="2"/>
  <c r="V201" i="2"/>
  <c r="V202" i="2"/>
  <c r="V203" i="2"/>
  <c r="V204" i="2"/>
  <c r="V205" i="2"/>
  <c r="V206" i="2"/>
  <c r="V207" i="2"/>
  <c r="V208" i="2"/>
  <c r="V209" i="2"/>
  <c r="V210" i="2"/>
  <c r="V211" i="2"/>
  <c r="V212" i="2"/>
  <c r="V213" i="2"/>
  <c r="V214" i="2"/>
  <c r="V215" i="2"/>
  <c r="V216" i="2"/>
  <c r="V217" i="2"/>
  <c r="V218" i="2"/>
  <c r="V219" i="2"/>
  <c r="V220" i="2"/>
  <c r="V221" i="2"/>
  <c r="V222" i="2"/>
  <c r="V223" i="2"/>
  <c r="V224" i="2"/>
  <c r="V225" i="2"/>
  <c r="V226" i="2"/>
  <c r="V227" i="2"/>
  <c r="V228" i="2"/>
  <c r="V229" i="2"/>
  <c r="V230" i="2"/>
  <c r="V231" i="2"/>
  <c r="V232" i="2"/>
  <c r="V233" i="2"/>
  <c r="V234" i="2"/>
  <c r="V235" i="2"/>
  <c r="V236" i="2"/>
  <c r="V237" i="2"/>
  <c r="V238" i="2"/>
  <c r="V239" i="2"/>
  <c r="V240" i="2"/>
  <c r="V241" i="2"/>
  <c r="V242" i="2"/>
  <c r="V243" i="2"/>
  <c r="V244" i="2"/>
  <c r="V245" i="2"/>
  <c r="V246" i="2"/>
  <c r="V247" i="2"/>
  <c r="V248" i="2"/>
  <c r="V249" i="2"/>
  <c r="V250" i="2"/>
  <c r="V251" i="2"/>
  <c r="V252" i="2"/>
  <c r="V253" i="2"/>
  <c r="V254" i="2"/>
  <c r="V255" i="2"/>
  <c r="V256" i="2"/>
  <c r="V257" i="2"/>
  <c r="V258" i="2"/>
  <c r="V259" i="2"/>
  <c r="V260" i="2"/>
  <c r="V261" i="2"/>
  <c r="V262" i="2"/>
  <c r="V264" i="2"/>
  <c r="V265" i="2"/>
  <c r="V266" i="2"/>
  <c r="V267" i="2"/>
  <c r="V268" i="2"/>
  <c r="V269" i="2"/>
  <c r="V270" i="2"/>
  <c r="V271" i="2"/>
  <c r="V272" i="2"/>
  <c r="V273" i="2"/>
  <c r="V274" i="2"/>
  <c r="V275" i="2"/>
  <c r="V276" i="2"/>
  <c r="V277" i="2"/>
  <c r="V278" i="2"/>
  <c r="V279" i="2"/>
  <c r="V280" i="2"/>
  <c r="V281" i="2"/>
  <c r="V282" i="2"/>
  <c r="V283" i="2"/>
  <c r="V284" i="2"/>
  <c r="V285" i="2"/>
  <c r="V286" i="2"/>
  <c r="V287" i="2"/>
  <c r="V288" i="2"/>
  <c r="V289" i="2"/>
  <c r="V290" i="2"/>
  <c r="V291" i="2"/>
  <c r="V292" i="2"/>
  <c r="V293" i="2"/>
  <c r="V294" i="2"/>
  <c r="V295" i="2"/>
  <c r="V296" i="2"/>
  <c r="V297" i="2"/>
  <c r="V298" i="2"/>
  <c r="V299" i="2"/>
  <c r="V300" i="2"/>
  <c r="V301" i="2"/>
  <c r="U271" i="2" l="1"/>
  <c r="U225" i="2"/>
  <c r="U201" i="2"/>
  <c r="U241" i="2"/>
  <c r="U138" i="2"/>
  <c r="U122" i="2"/>
  <c r="U74" i="2"/>
  <c r="U20" i="2"/>
  <c r="U294" i="2"/>
  <c r="U249" i="2"/>
  <c r="U146" i="2"/>
  <c r="U106" i="2"/>
  <c r="U50" i="2"/>
  <c r="U28" i="2"/>
  <c r="U287" i="2"/>
  <c r="U257" i="2"/>
  <c r="U233" i="2"/>
  <c r="U217" i="2"/>
  <c r="U209" i="2"/>
  <c r="U185" i="2"/>
  <c r="U161" i="2"/>
  <c r="U114" i="2"/>
  <c r="U90" i="2"/>
  <c r="U82" i="2"/>
  <c r="U66" i="2"/>
  <c r="U169" i="2"/>
  <c r="U130" i="2"/>
  <c r="U58" i="2"/>
  <c r="U12" i="2"/>
  <c r="U279" i="2"/>
  <c r="U193" i="2"/>
  <c r="U177" i="2"/>
  <c r="U154" i="2"/>
  <c r="U98" i="2"/>
  <c r="U42" i="2"/>
  <c r="U301" i="2"/>
  <c r="U286" i="2"/>
  <c r="U278" i="2"/>
  <c r="U270" i="2"/>
  <c r="U256" i="2"/>
  <c r="U248" i="2"/>
  <c r="U240" i="2"/>
  <c r="U232" i="2"/>
  <c r="U224" i="2"/>
  <c r="U216" i="2"/>
  <c r="U208" i="2"/>
  <c r="U200" i="2"/>
  <c r="U192" i="2"/>
  <c r="U184" i="2"/>
  <c r="U176" i="2"/>
  <c r="U168" i="2"/>
  <c r="U160" i="2"/>
  <c r="U153" i="2"/>
  <c r="U145" i="2"/>
  <c r="U137" i="2"/>
  <c r="U129" i="2"/>
  <c r="U121" i="2"/>
  <c r="U113" i="2"/>
  <c r="U105" i="2"/>
  <c r="U97" i="2"/>
  <c r="U89" i="2"/>
  <c r="U81" i="2"/>
  <c r="U73" i="2"/>
  <c r="U65" i="2"/>
  <c r="U57" i="2"/>
  <c r="U49" i="2"/>
  <c r="U41" i="2"/>
  <c r="U27" i="2"/>
  <c r="U19" i="2"/>
  <c r="U11" i="2"/>
  <c r="U300" i="2"/>
  <c r="U293" i="2"/>
  <c r="U285" i="2"/>
  <c r="U277" i="2"/>
  <c r="U269" i="2"/>
  <c r="U255" i="2"/>
  <c r="U247" i="2"/>
  <c r="U239" i="2"/>
  <c r="U231" i="2"/>
  <c r="U223" i="2"/>
  <c r="U215" i="2"/>
  <c r="U207" i="2"/>
  <c r="U199" i="2"/>
  <c r="U191" i="2"/>
  <c r="U183" i="2"/>
  <c r="U175" i="2"/>
  <c r="U167" i="2"/>
  <c r="U159" i="2"/>
  <c r="U152" i="2"/>
  <c r="U144" i="2"/>
  <c r="U136" i="2"/>
  <c r="U128" i="2"/>
  <c r="U120" i="2"/>
  <c r="U112" i="2"/>
  <c r="U104" i="2"/>
  <c r="U96" i="2"/>
  <c r="U88" i="2"/>
  <c r="U80" i="2"/>
  <c r="U72" i="2"/>
  <c r="U64" i="2"/>
  <c r="U56" i="2"/>
  <c r="U48" i="2"/>
  <c r="U40" i="2"/>
  <c r="U34" i="2"/>
  <c r="U26" i="2"/>
  <c r="U18" i="2"/>
  <c r="U10" i="2"/>
  <c r="U299" i="2"/>
  <c r="U292" i="2"/>
  <c r="U284" i="2"/>
  <c r="U276" i="2"/>
  <c r="U268" i="2"/>
  <c r="U262" i="2"/>
  <c r="U254" i="2"/>
  <c r="U246" i="2"/>
  <c r="U238" i="2"/>
  <c r="U230" i="2"/>
  <c r="U222" i="2"/>
  <c r="U214" i="2"/>
  <c r="U206" i="2"/>
  <c r="U198" i="2"/>
  <c r="U190" i="2"/>
  <c r="U182" i="2"/>
  <c r="U174" i="2"/>
  <c r="U166" i="2"/>
  <c r="U151" i="2"/>
  <c r="U143" i="2"/>
  <c r="U135" i="2"/>
  <c r="U127" i="2"/>
  <c r="U119" i="2"/>
  <c r="U111" i="2"/>
  <c r="U103" i="2"/>
  <c r="U95" i="2"/>
  <c r="U87" i="2"/>
  <c r="U79" i="2"/>
  <c r="U71" i="2"/>
  <c r="U63" i="2"/>
  <c r="U55" i="2"/>
  <c r="U47" i="2"/>
  <c r="U39" i="2"/>
  <c r="U33" i="2"/>
  <c r="U25" i="2"/>
  <c r="U17" i="2"/>
  <c r="U9" i="2"/>
  <c r="U298" i="2"/>
  <c r="U291" i="2"/>
  <c r="U283" i="2"/>
  <c r="U275" i="2"/>
  <c r="U267" i="2"/>
  <c r="U261" i="2"/>
  <c r="U253" i="2"/>
  <c r="U245" i="2"/>
  <c r="U237" i="2"/>
  <c r="U229" i="2"/>
  <c r="U221" i="2"/>
  <c r="U213" i="2"/>
  <c r="U205" i="2"/>
  <c r="U197" i="2"/>
  <c r="U189" i="2"/>
  <c r="U181" i="2"/>
  <c r="U173" i="2"/>
  <c r="U165" i="2"/>
  <c r="U158" i="2"/>
  <c r="U150" i="2"/>
  <c r="U142" i="2"/>
  <c r="U134" i="2"/>
  <c r="U126" i="2"/>
  <c r="U118" i="2"/>
  <c r="U110" i="2"/>
  <c r="U102" i="2"/>
  <c r="U94" i="2"/>
  <c r="U86" i="2"/>
  <c r="U78" i="2"/>
  <c r="U70" i="2"/>
  <c r="U62" i="2"/>
  <c r="U54" i="2"/>
  <c r="U46" i="2"/>
  <c r="U38" i="2"/>
  <c r="U32" i="2"/>
  <c r="U24" i="2"/>
  <c r="U16" i="2"/>
  <c r="U297" i="2"/>
  <c r="U290" i="2"/>
  <c r="U282" i="2"/>
  <c r="U274" i="2"/>
  <c r="U266" i="2"/>
  <c r="U260" i="2"/>
  <c r="U252" i="2"/>
  <c r="U244" i="2"/>
  <c r="U236" i="2"/>
  <c r="U228" i="2"/>
  <c r="U220" i="2"/>
  <c r="U212" i="2"/>
  <c r="U204" i="2"/>
  <c r="U196" i="2"/>
  <c r="U188" i="2"/>
  <c r="U180" i="2"/>
  <c r="U172" i="2"/>
  <c r="U164" i="2"/>
  <c r="U157" i="2"/>
  <c r="U149" i="2"/>
  <c r="U141" i="2"/>
  <c r="U133" i="2"/>
  <c r="U125" i="2"/>
  <c r="U117" i="2"/>
  <c r="U109" i="2"/>
  <c r="U101" i="2"/>
  <c r="U93" i="2"/>
  <c r="U85" i="2"/>
  <c r="U77" i="2"/>
  <c r="U69" i="2"/>
  <c r="U61" i="2"/>
  <c r="U53" i="2"/>
  <c r="U45" i="2"/>
  <c r="U37" i="2"/>
  <c r="U31" i="2"/>
  <c r="U23" i="2"/>
  <c r="U15" i="2"/>
  <c r="U296" i="2"/>
  <c r="U289" i="2"/>
  <c r="U281" i="2"/>
  <c r="U273" i="2"/>
  <c r="U265" i="2"/>
  <c r="U259" i="2"/>
  <c r="U251" i="2"/>
  <c r="U243" i="2"/>
  <c r="U235" i="2"/>
  <c r="U227" i="2"/>
  <c r="U219" i="2"/>
  <c r="U211" i="2"/>
  <c r="U203" i="2"/>
  <c r="U195" i="2"/>
  <c r="U187" i="2"/>
  <c r="U179" i="2"/>
  <c r="U171" i="2"/>
  <c r="U163" i="2"/>
  <c r="U156" i="2"/>
  <c r="U148" i="2"/>
  <c r="U140" i="2"/>
  <c r="U132" i="2"/>
  <c r="U124" i="2"/>
  <c r="U116" i="2"/>
  <c r="U108" i="2"/>
  <c r="U100" i="2"/>
  <c r="U92" i="2"/>
  <c r="U84" i="2"/>
  <c r="U76" i="2"/>
  <c r="U68" i="2"/>
  <c r="U60" i="2"/>
  <c r="U52" i="2"/>
  <c r="U44" i="2"/>
  <c r="U36" i="2"/>
  <c r="U30" i="2"/>
  <c r="U22" i="2"/>
  <c r="U14" i="2"/>
  <c r="U295" i="2"/>
  <c r="U288" i="2"/>
  <c r="U280" i="2"/>
  <c r="U272" i="2"/>
  <c r="U264" i="2"/>
  <c r="U258" i="2"/>
  <c r="U250" i="2"/>
  <c r="U242" i="2"/>
  <c r="U234" i="2"/>
  <c r="U226" i="2"/>
  <c r="U218" i="2"/>
  <c r="U210" i="2"/>
  <c r="U202" i="2"/>
  <c r="U194" i="2"/>
  <c r="U186" i="2"/>
  <c r="U178" i="2"/>
  <c r="U170" i="2"/>
  <c r="U162" i="2"/>
  <c r="U155" i="2"/>
  <c r="U147" i="2"/>
  <c r="U139" i="2"/>
  <c r="U131" i="2"/>
  <c r="U123" i="2"/>
  <c r="U115" i="2"/>
  <c r="U107" i="2"/>
  <c r="U99" i="2"/>
  <c r="U91" i="2"/>
  <c r="U83" i="2"/>
  <c r="U75" i="2"/>
  <c r="U67" i="2"/>
  <c r="U59" i="2"/>
  <c r="U51" i="2"/>
  <c r="U43" i="2"/>
  <c r="U35" i="2"/>
  <c r="U29" i="2"/>
  <c r="U21" i="2"/>
  <c r="U13" i="2"/>
  <c r="U8" i="2"/>
  <c r="J12" i="21" l="1"/>
  <c r="O302" i="29"/>
  <c r="R8" i="29" s="1"/>
  <c r="E12" i="21"/>
  <c r="F12" i="21"/>
  <c r="D12" i="21"/>
  <c r="G12" i="21"/>
  <c r="I12" i="21"/>
  <c r="H12" i="21"/>
  <c r="I138" i="21"/>
  <c r="I30" i="21"/>
  <c r="I187" i="21"/>
  <c r="I251" i="21"/>
  <c r="I29" i="21"/>
  <c r="I91" i="21"/>
  <c r="I123" i="21"/>
  <c r="I155" i="21"/>
  <c r="I186" i="21"/>
  <c r="I250" i="21"/>
  <c r="I280" i="21"/>
  <c r="I23" i="21"/>
  <c r="I164" i="21"/>
  <c r="I17" i="21"/>
  <c r="I47" i="21"/>
  <c r="I79" i="21"/>
  <c r="I111" i="21"/>
  <c r="I143" i="21"/>
  <c r="I174" i="21"/>
  <c r="I206" i="21"/>
  <c r="I238" i="21"/>
  <c r="I268" i="21"/>
  <c r="I101" i="21"/>
  <c r="I274" i="21"/>
  <c r="I53" i="21"/>
  <c r="I93" i="21"/>
  <c r="I19" i="21"/>
  <c r="I49" i="21"/>
  <c r="I81" i="21"/>
  <c r="I113" i="21"/>
  <c r="I145" i="21"/>
  <c r="I176" i="21"/>
  <c r="I208" i="21"/>
  <c r="I240" i="21"/>
  <c r="I270" i="21"/>
  <c r="I301" i="21"/>
  <c r="I125" i="21"/>
  <c r="I252" i="21"/>
  <c r="I32" i="21"/>
  <c r="I62" i="21"/>
  <c r="I94" i="21"/>
  <c r="I126" i="21"/>
  <c r="I158" i="21"/>
  <c r="I189" i="21"/>
  <c r="I221" i="21"/>
  <c r="I253" i="21"/>
  <c r="I109" i="21"/>
  <c r="I117" i="21"/>
  <c r="I18" i="21"/>
  <c r="I48" i="21"/>
  <c r="I80" i="21"/>
  <c r="I112" i="21"/>
  <c r="I144" i="21"/>
  <c r="I175" i="21"/>
  <c r="I207" i="21"/>
  <c r="I239" i="21"/>
  <c r="I269" i="21"/>
  <c r="I300" i="21"/>
  <c r="I74" i="21"/>
  <c r="I201" i="21"/>
  <c r="I60" i="21"/>
  <c r="I219" i="21"/>
  <c r="I59" i="21"/>
  <c r="I218" i="21"/>
  <c r="I20" i="21"/>
  <c r="I50" i="21"/>
  <c r="I82" i="21"/>
  <c r="I114" i="21"/>
  <c r="I146" i="21"/>
  <c r="I177" i="21"/>
  <c r="I209" i="21"/>
  <c r="I241" i="21"/>
  <c r="I271" i="21"/>
  <c r="I8" i="21"/>
  <c r="H8" i="21"/>
  <c r="I36" i="21"/>
  <c r="I68" i="21"/>
  <c r="I100" i="21"/>
  <c r="I132" i="21"/>
  <c r="I163" i="21"/>
  <c r="I195" i="21"/>
  <c r="I227" i="21"/>
  <c r="I259" i="21"/>
  <c r="I289" i="21"/>
  <c r="I35" i="21"/>
  <c r="I67" i="21"/>
  <c r="I99" i="21"/>
  <c r="I131" i="21"/>
  <c r="I162" i="21"/>
  <c r="I194" i="21"/>
  <c r="I226" i="21"/>
  <c r="I258" i="21"/>
  <c r="I288" i="21"/>
  <c r="I124" i="21"/>
  <c r="I31" i="21"/>
  <c r="I196" i="21"/>
  <c r="I25" i="21"/>
  <c r="I55" i="21"/>
  <c r="I87" i="21"/>
  <c r="I119" i="21"/>
  <c r="I151" i="21"/>
  <c r="I182" i="21"/>
  <c r="I214" i="21"/>
  <c r="I246" i="21"/>
  <c r="I276" i="21"/>
  <c r="I212" i="21"/>
  <c r="I282" i="21"/>
  <c r="I69" i="21"/>
  <c r="I204" i="21"/>
  <c r="I27" i="21"/>
  <c r="I57" i="21"/>
  <c r="I89" i="21"/>
  <c r="I121" i="21"/>
  <c r="I153" i="21"/>
  <c r="I184" i="21"/>
  <c r="I216" i="21"/>
  <c r="I248" i="21"/>
  <c r="I278" i="21"/>
  <c r="I261" i="21"/>
  <c r="I157" i="21"/>
  <c r="I290" i="21"/>
  <c r="I38" i="21"/>
  <c r="I70" i="21"/>
  <c r="I102" i="21"/>
  <c r="I134" i="21"/>
  <c r="I165" i="21"/>
  <c r="I197" i="21"/>
  <c r="I229" i="21"/>
  <c r="I267" i="21"/>
  <c r="I149" i="21"/>
  <c r="I172" i="21"/>
  <c r="I26" i="21"/>
  <c r="I56" i="21"/>
  <c r="I88" i="21"/>
  <c r="I120" i="21"/>
  <c r="I152" i="21"/>
  <c r="I183" i="21"/>
  <c r="I215" i="21"/>
  <c r="I247" i="21"/>
  <c r="I277" i="21"/>
  <c r="I133" i="21"/>
  <c r="I42" i="21"/>
  <c r="I169" i="21"/>
  <c r="I28" i="21"/>
  <c r="I58" i="21"/>
  <c r="I90" i="21"/>
  <c r="I122" i="21"/>
  <c r="I154" i="21"/>
  <c r="I185" i="21"/>
  <c r="I217" i="21"/>
  <c r="I249" i="21"/>
  <c r="I279" i="21"/>
  <c r="I14" i="21"/>
  <c r="I44" i="21"/>
  <c r="I76" i="21"/>
  <c r="I108" i="21"/>
  <c r="I140" i="21"/>
  <c r="I171" i="21"/>
  <c r="I203" i="21"/>
  <c r="I235" i="21"/>
  <c r="I265" i="21"/>
  <c r="I296" i="21"/>
  <c r="I13" i="21"/>
  <c r="I43" i="21"/>
  <c r="I75" i="21"/>
  <c r="I107" i="21"/>
  <c r="I139" i="21"/>
  <c r="I170" i="21"/>
  <c r="I202" i="21"/>
  <c r="I234" i="21"/>
  <c r="I264" i="21"/>
  <c r="I295" i="21"/>
  <c r="I294" i="21"/>
  <c r="I156" i="21"/>
  <c r="I299" i="21"/>
  <c r="I61" i="21"/>
  <c r="I297" i="21"/>
  <c r="I33" i="21"/>
  <c r="I63" i="21"/>
  <c r="I95" i="21"/>
  <c r="I127" i="21"/>
  <c r="I190" i="21"/>
  <c r="I222" i="21"/>
  <c r="I254" i="21"/>
  <c r="I284" i="21"/>
  <c r="I244" i="21"/>
  <c r="I77" i="21"/>
  <c r="I260" i="21"/>
  <c r="I65" i="21"/>
  <c r="I97" i="21"/>
  <c r="I129" i="21"/>
  <c r="I160" i="21"/>
  <c r="I192" i="21"/>
  <c r="I224" i="21"/>
  <c r="I256" i="21"/>
  <c r="I286" i="21"/>
  <c r="I275" i="21"/>
  <c r="I180" i="21"/>
  <c r="I16" i="21"/>
  <c r="I46" i="21"/>
  <c r="I78" i="21"/>
  <c r="I110" i="21"/>
  <c r="I142" i="21"/>
  <c r="I173" i="21"/>
  <c r="I205" i="21"/>
  <c r="I237" i="21"/>
  <c r="I291" i="21"/>
  <c r="I228" i="21"/>
  <c r="I34" i="21"/>
  <c r="I64" i="21"/>
  <c r="I96" i="21"/>
  <c r="I128" i="21"/>
  <c r="I159" i="21"/>
  <c r="I191" i="21"/>
  <c r="I223" i="21"/>
  <c r="I255" i="21"/>
  <c r="I285" i="21"/>
  <c r="I188" i="21"/>
  <c r="I106" i="21"/>
  <c r="I233" i="21"/>
  <c r="I281" i="21"/>
  <c r="I66" i="21"/>
  <c r="I98" i="21"/>
  <c r="I130" i="21"/>
  <c r="I161" i="21"/>
  <c r="I193" i="21"/>
  <c r="I225" i="21"/>
  <c r="I257" i="21"/>
  <c r="I287" i="21"/>
  <c r="I22" i="21"/>
  <c r="I52" i="21"/>
  <c r="I84" i="21"/>
  <c r="I116" i="21"/>
  <c r="I148" i="21"/>
  <c r="I179" i="21"/>
  <c r="I211" i="21"/>
  <c r="I243" i="21"/>
  <c r="I273" i="21"/>
  <c r="I21" i="21"/>
  <c r="I51" i="21"/>
  <c r="I83" i="21"/>
  <c r="I115" i="21"/>
  <c r="I147" i="21"/>
  <c r="I178" i="21"/>
  <c r="I210" i="21"/>
  <c r="I242" i="21"/>
  <c r="I272" i="21"/>
  <c r="I263" i="21"/>
  <c r="I92" i="21"/>
  <c r="I15" i="21"/>
  <c r="I141" i="21"/>
  <c r="I9" i="21"/>
  <c r="I39" i="21"/>
  <c r="I71" i="21"/>
  <c r="I103" i="21"/>
  <c r="I135" i="21"/>
  <c r="I166" i="21"/>
  <c r="I198" i="21"/>
  <c r="I230" i="21"/>
  <c r="I262" i="21"/>
  <c r="I292" i="21"/>
  <c r="I266" i="21"/>
  <c r="I45" i="21"/>
  <c r="I85" i="21"/>
  <c r="I11" i="21"/>
  <c r="I41" i="21"/>
  <c r="I73" i="21"/>
  <c r="I105" i="21"/>
  <c r="I137" i="21"/>
  <c r="I168" i="21"/>
  <c r="I200" i="21"/>
  <c r="I232" i="21"/>
  <c r="I283" i="21"/>
  <c r="I220" i="21"/>
  <c r="I24" i="21"/>
  <c r="I54" i="21"/>
  <c r="I86" i="21"/>
  <c r="I118" i="21"/>
  <c r="I150" i="21"/>
  <c r="I181" i="21"/>
  <c r="I213" i="21"/>
  <c r="I245" i="21"/>
  <c r="I298" i="21"/>
  <c r="I37" i="21"/>
  <c r="I10" i="21"/>
  <c r="I40" i="21"/>
  <c r="I72" i="21"/>
  <c r="I104" i="21"/>
  <c r="I136" i="21"/>
  <c r="I167" i="21"/>
  <c r="I199" i="21"/>
  <c r="I231" i="21"/>
  <c r="I293" i="21"/>
  <c r="I236" i="21"/>
  <c r="F300" i="21"/>
  <c r="E300" i="21"/>
  <c r="D300" i="21"/>
  <c r="G300" i="21"/>
  <c r="C302" i="29"/>
  <c r="U31" i="45" l="1"/>
  <c r="Q8" i="29"/>
  <c r="S12" i="45"/>
  <c r="L12" i="21"/>
  <c r="P12" i="29"/>
  <c r="R12" i="29"/>
  <c r="R42" i="29"/>
  <c r="R74" i="29"/>
  <c r="R106" i="29"/>
  <c r="R138" i="29"/>
  <c r="R169" i="29"/>
  <c r="R201" i="29"/>
  <c r="R233" i="29"/>
  <c r="R263" i="29"/>
  <c r="R294" i="29"/>
  <c r="R29" i="29"/>
  <c r="R59" i="29"/>
  <c r="R91" i="29"/>
  <c r="R123" i="29"/>
  <c r="R155" i="29"/>
  <c r="R186" i="29"/>
  <c r="R218" i="29"/>
  <c r="R250" i="29"/>
  <c r="R280" i="29"/>
  <c r="R18" i="29"/>
  <c r="R48" i="29"/>
  <c r="R80" i="29"/>
  <c r="R112" i="29"/>
  <c r="R144" i="29"/>
  <c r="R175" i="29"/>
  <c r="R207" i="29"/>
  <c r="R239" i="29"/>
  <c r="R269" i="29"/>
  <c r="R300" i="29"/>
  <c r="R37" i="29"/>
  <c r="R69" i="29"/>
  <c r="R101" i="29"/>
  <c r="R133" i="29"/>
  <c r="R164" i="29"/>
  <c r="R196" i="29"/>
  <c r="R228" i="29"/>
  <c r="R260" i="29"/>
  <c r="R290" i="29"/>
  <c r="R134" i="29"/>
  <c r="R55" i="29"/>
  <c r="R276" i="29"/>
  <c r="R171" i="29"/>
  <c r="R97" i="29"/>
  <c r="R16" i="29"/>
  <c r="R46" i="29"/>
  <c r="R78" i="29"/>
  <c r="R110" i="29"/>
  <c r="R142" i="29"/>
  <c r="R173" i="29"/>
  <c r="R205" i="29"/>
  <c r="R237" i="29"/>
  <c r="R267" i="29"/>
  <c r="R298" i="29"/>
  <c r="R33" i="29"/>
  <c r="R63" i="29"/>
  <c r="R95" i="29"/>
  <c r="R127" i="29"/>
  <c r="R190" i="29"/>
  <c r="R222" i="29"/>
  <c r="R254" i="29"/>
  <c r="R284" i="29"/>
  <c r="R22" i="29"/>
  <c r="R52" i="29"/>
  <c r="R84" i="29"/>
  <c r="R116" i="29"/>
  <c r="R148" i="29"/>
  <c r="R179" i="29"/>
  <c r="R211" i="29"/>
  <c r="R243" i="29"/>
  <c r="R273" i="29"/>
  <c r="R11" i="29"/>
  <c r="R41" i="29"/>
  <c r="R73" i="29"/>
  <c r="R105" i="29"/>
  <c r="R137" i="29"/>
  <c r="R168" i="29"/>
  <c r="R200" i="29"/>
  <c r="R232" i="29"/>
  <c r="R102" i="29"/>
  <c r="R87" i="29"/>
  <c r="R14" i="29"/>
  <c r="R235" i="29"/>
  <c r="R160" i="29"/>
  <c r="R20" i="29"/>
  <c r="R50" i="29"/>
  <c r="R82" i="29"/>
  <c r="R114" i="29"/>
  <c r="R146" i="29"/>
  <c r="R177" i="29"/>
  <c r="R209" i="29"/>
  <c r="R241" i="29"/>
  <c r="R271" i="29"/>
  <c r="R35" i="29"/>
  <c r="R67" i="29"/>
  <c r="R99" i="29"/>
  <c r="R131" i="29"/>
  <c r="R162" i="29"/>
  <c r="R194" i="29"/>
  <c r="R226" i="29"/>
  <c r="R258" i="29"/>
  <c r="R288" i="29"/>
  <c r="R26" i="29"/>
  <c r="R56" i="29"/>
  <c r="R88" i="29"/>
  <c r="R120" i="29"/>
  <c r="R152" i="29"/>
  <c r="R183" i="29"/>
  <c r="R215" i="29"/>
  <c r="R247" i="29"/>
  <c r="R277" i="29"/>
  <c r="R15" i="29"/>
  <c r="R45" i="29"/>
  <c r="R77" i="29"/>
  <c r="R109" i="29"/>
  <c r="R141" i="29"/>
  <c r="R172" i="29"/>
  <c r="R204" i="29"/>
  <c r="R236" i="29"/>
  <c r="R266" i="29"/>
  <c r="R297" i="29"/>
  <c r="R165" i="29"/>
  <c r="R25" i="29"/>
  <c r="R246" i="29"/>
  <c r="R140" i="29"/>
  <c r="R65" i="29"/>
  <c r="R286" i="29"/>
  <c r="R24" i="29"/>
  <c r="R54" i="29"/>
  <c r="R86" i="29"/>
  <c r="R118" i="29"/>
  <c r="R150" i="29"/>
  <c r="R181" i="29"/>
  <c r="R213" i="29"/>
  <c r="R245" i="29"/>
  <c r="R275" i="29"/>
  <c r="R9" i="29"/>
  <c r="R39" i="29"/>
  <c r="R71" i="29"/>
  <c r="R103" i="29"/>
  <c r="R135" i="29"/>
  <c r="R166" i="29"/>
  <c r="R198" i="29"/>
  <c r="R230" i="29"/>
  <c r="R262" i="29"/>
  <c r="R292" i="29"/>
  <c r="R30" i="29"/>
  <c r="R60" i="29"/>
  <c r="R92" i="29"/>
  <c r="R124" i="29"/>
  <c r="R156" i="29"/>
  <c r="R187" i="29"/>
  <c r="R219" i="29"/>
  <c r="R251" i="29"/>
  <c r="R281" i="29"/>
  <c r="R19" i="29"/>
  <c r="R49" i="29"/>
  <c r="R81" i="29"/>
  <c r="R113" i="29"/>
  <c r="R145" i="29"/>
  <c r="R176" i="29"/>
  <c r="R208" i="29"/>
  <c r="R240" i="29"/>
  <c r="R270" i="29"/>
  <c r="R301" i="29"/>
  <c r="R197" i="29"/>
  <c r="R261" i="29"/>
  <c r="R151" i="29"/>
  <c r="R76" i="29"/>
  <c r="R296" i="29"/>
  <c r="R224" i="29"/>
  <c r="R28" i="29"/>
  <c r="R58" i="29"/>
  <c r="R90" i="29"/>
  <c r="R122" i="29"/>
  <c r="R154" i="29"/>
  <c r="R185" i="29"/>
  <c r="R217" i="29"/>
  <c r="R249" i="29"/>
  <c r="R279" i="29"/>
  <c r="R13" i="29"/>
  <c r="R43" i="29"/>
  <c r="R75" i="29"/>
  <c r="R107" i="29"/>
  <c r="R139" i="29"/>
  <c r="R170" i="29"/>
  <c r="R202" i="29"/>
  <c r="R234" i="29"/>
  <c r="R264" i="29"/>
  <c r="R295" i="29"/>
  <c r="R34" i="29"/>
  <c r="R64" i="29"/>
  <c r="R96" i="29"/>
  <c r="R128" i="29"/>
  <c r="R159" i="29"/>
  <c r="R191" i="29"/>
  <c r="R223" i="29"/>
  <c r="R255" i="29"/>
  <c r="R285" i="29"/>
  <c r="R23" i="29"/>
  <c r="R53" i="29"/>
  <c r="R85" i="29"/>
  <c r="R117" i="29"/>
  <c r="R149" i="29"/>
  <c r="R180" i="29"/>
  <c r="R212" i="29"/>
  <c r="R244" i="29"/>
  <c r="R274" i="29"/>
  <c r="R38" i="29"/>
  <c r="R214" i="29"/>
  <c r="R203" i="29"/>
  <c r="R129" i="29"/>
  <c r="R32" i="29"/>
  <c r="R62" i="29"/>
  <c r="R94" i="29"/>
  <c r="R126" i="29"/>
  <c r="R158" i="29"/>
  <c r="R189" i="29"/>
  <c r="R221" i="29"/>
  <c r="R253" i="29"/>
  <c r="R283" i="29"/>
  <c r="R17" i="29"/>
  <c r="R47" i="29"/>
  <c r="R79" i="29"/>
  <c r="R111" i="29"/>
  <c r="R143" i="29"/>
  <c r="R174" i="29"/>
  <c r="R206" i="29"/>
  <c r="R238" i="29"/>
  <c r="R268" i="29"/>
  <c r="R299" i="29"/>
  <c r="R36" i="29"/>
  <c r="R68" i="29"/>
  <c r="R100" i="29"/>
  <c r="R132" i="29"/>
  <c r="R163" i="29"/>
  <c r="R195" i="29"/>
  <c r="R227" i="29"/>
  <c r="R259" i="29"/>
  <c r="R289" i="29"/>
  <c r="R27" i="29"/>
  <c r="R57" i="29"/>
  <c r="R89" i="29"/>
  <c r="R121" i="29"/>
  <c r="R153" i="29"/>
  <c r="R184" i="29"/>
  <c r="R216" i="29"/>
  <c r="R248" i="29"/>
  <c r="R278" i="29"/>
  <c r="R70" i="29"/>
  <c r="R119" i="29"/>
  <c r="R108" i="29"/>
  <c r="R256" i="29"/>
  <c r="R66" i="29"/>
  <c r="R98" i="29"/>
  <c r="R130" i="29"/>
  <c r="R161" i="29"/>
  <c r="R193" i="29"/>
  <c r="R225" i="29"/>
  <c r="R257" i="29"/>
  <c r="R287" i="29"/>
  <c r="R21" i="29"/>
  <c r="R51" i="29"/>
  <c r="R83" i="29"/>
  <c r="R115" i="29"/>
  <c r="R147" i="29"/>
  <c r="R178" i="29"/>
  <c r="R210" i="29"/>
  <c r="R242" i="29"/>
  <c r="R272" i="29"/>
  <c r="R10" i="29"/>
  <c r="R40" i="29"/>
  <c r="R72" i="29"/>
  <c r="R104" i="29"/>
  <c r="R136" i="29"/>
  <c r="R167" i="29"/>
  <c r="R199" i="29"/>
  <c r="R231" i="29"/>
  <c r="R293" i="29"/>
  <c r="R31" i="29"/>
  <c r="R61" i="29"/>
  <c r="R93" i="29"/>
  <c r="R125" i="29"/>
  <c r="R157" i="29"/>
  <c r="R188" i="29"/>
  <c r="R220" i="29"/>
  <c r="R252" i="29"/>
  <c r="R282" i="29"/>
  <c r="R229" i="29"/>
  <c r="R291" i="29"/>
  <c r="R182" i="29"/>
  <c r="R44" i="29"/>
  <c r="R265" i="29"/>
  <c r="R192" i="29"/>
  <c r="Q17" i="29"/>
  <c r="Q79" i="29"/>
  <c r="Q143" i="29"/>
  <c r="Q206" i="29"/>
  <c r="Q268" i="29"/>
  <c r="Q34" i="29"/>
  <c r="Q120" i="29"/>
  <c r="Q73" i="29"/>
  <c r="Q28" i="29"/>
  <c r="Q90" i="29"/>
  <c r="Q154" i="29"/>
  <c r="Q217" i="29"/>
  <c r="Q279" i="29"/>
  <c r="Q175" i="29"/>
  <c r="Q248" i="29"/>
  <c r="Q59" i="29"/>
  <c r="Q123" i="29"/>
  <c r="Q186" i="29"/>
  <c r="Q250" i="29"/>
  <c r="Q235" i="29"/>
  <c r="Q231" i="29"/>
  <c r="Q278" i="29"/>
  <c r="Q68" i="29"/>
  <c r="Q132" i="29"/>
  <c r="Q195" i="29"/>
  <c r="Q253" i="29"/>
  <c r="Q19" i="29"/>
  <c r="Q31" i="29"/>
  <c r="Q93" i="29"/>
  <c r="Q157" i="29"/>
  <c r="Q220" i="29"/>
  <c r="Q290" i="29"/>
  <c r="Q16" i="29"/>
  <c r="Q78" i="29"/>
  <c r="Q142" i="29"/>
  <c r="Q205" i="29"/>
  <c r="Q168" i="29"/>
  <c r="Q25" i="29"/>
  <c r="Q87" i="29"/>
  <c r="Q151" i="29"/>
  <c r="Q214" i="29"/>
  <c r="Q276" i="29"/>
  <c r="Q40" i="29"/>
  <c r="Q136" i="29"/>
  <c r="Q113" i="29"/>
  <c r="Q98" i="29"/>
  <c r="Q161" i="29"/>
  <c r="Q225" i="29"/>
  <c r="Q287" i="29"/>
  <c r="Q215" i="29"/>
  <c r="Q67" i="29"/>
  <c r="Q131" i="29"/>
  <c r="Q194" i="29"/>
  <c r="Q258" i="29"/>
  <c r="Q251" i="29"/>
  <c r="Q269" i="29"/>
  <c r="Q14" i="29"/>
  <c r="Q76" i="29"/>
  <c r="Q140" i="29"/>
  <c r="Q203" i="29"/>
  <c r="Q291" i="29"/>
  <c r="Q81" i="29"/>
  <c r="Q37" i="29"/>
  <c r="Q101" i="29"/>
  <c r="Q164" i="29"/>
  <c r="Q228" i="29"/>
  <c r="Q261" i="29"/>
  <c r="Q57" i="29"/>
  <c r="Q24" i="29"/>
  <c r="Q86" i="29"/>
  <c r="Q150" i="29"/>
  <c r="Q213" i="29"/>
  <c r="Q216" i="29"/>
  <c r="Q198" i="29"/>
  <c r="Q178" i="29"/>
  <c r="Q187" i="29"/>
  <c r="Q85" i="29"/>
  <c r="Q70" i="29"/>
  <c r="Q33" i="29"/>
  <c r="Q95" i="29"/>
  <c r="Q222" i="29"/>
  <c r="Q284" i="29"/>
  <c r="Q48" i="29"/>
  <c r="Q144" i="29"/>
  <c r="Q153" i="29"/>
  <c r="Q42" i="29"/>
  <c r="Q106" i="29"/>
  <c r="Q169" i="29"/>
  <c r="Q233" i="29"/>
  <c r="Q294" i="29"/>
  <c r="Q13" i="29"/>
  <c r="Q75" i="29"/>
  <c r="Q139" i="29"/>
  <c r="Q202" i="29"/>
  <c r="Q264" i="29"/>
  <c r="Q265" i="29"/>
  <c r="Q41" i="29"/>
  <c r="Q22" i="29"/>
  <c r="Q84" i="29"/>
  <c r="Q148" i="29"/>
  <c r="Q219" i="29"/>
  <c r="Q104" i="29"/>
  <c r="Q137" i="29"/>
  <c r="Q45" i="29"/>
  <c r="Q109" i="29"/>
  <c r="Q172" i="29"/>
  <c r="Q236" i="29"/>
  <c r="Q298" i="29"/>
  <c r="Q97" i="29"/>
  <c r="Q32" i="29"/>
  <c r="Q94" i="29"/>
  <c r="Q158" i="29"/>
  <c r="Q221" i="29"/>
  <c r="Q270" i="29"/>
  <c r="Q112" i="29"/>
  <c r="Q102" i="29"/>
  <c r="Q229" i="29"/>
  <c r="Q47" i="29"/>
  <c r="Q111" i="29"/>
  <c r="Q174" i="29"/>
  <c r="Q238" i="29"/>
  <c r="Q64" i="29"/>
  <c r="Q199" i="29"/>
  <c r="Q232" i="29"/>
  <c r="Q58" i="29"/>
  <c r="Q122" i="29"/>
  <c r="Q185" i="29"/>
  <c r="Q249" i="29"/>
  <c r="Q282" i="29"/>
  <c r="Q11" i="29"/>
  <c r="Q29" i="29"/>
  <c r="Q155" i="29"/>
  <c r="Q218" i="29"/>
  <c r="Q280" i="29"/>
  <c r="Q105" i="29"/>
  <c r="Q36" i="29"/>
  <c r="Q163" i="29"/>
  <c r="Q183" i="29"/>
  <c r="Q61" i="29"/>
  <c r="Q125" i="29"/>
  <c r="Q252" i="29"/>
  <c r="Q160" i="29"/>
  <c r="Q110" i="29"/>
  <c r="Q237" i="29"/>
  <c r="Q15" i="29"/>
  <c r="Q141" i="29"/>
  <c r="Q255" i="29"/>
  <c r="Q62" i="29"/>
  <c r="Q189" i="29"/>
  <c r="Q9" i="29"/>
  <c r="Q26" i="29"/>
  <c r="Q27" i="29"/>
  <c r="Q146" i="29"/>
  <c r="Q271" i="29"/>
  <c r="Q51" i="29"/>
  <c r="Q211" i="29"/>
  <c r="Q240" i="29"/>
  <c r="Q289" i="29"/>
  <c r="Q149" i="29"/>
  <c r="Q300" i="29"/>
  <c r="Q197" i="29"/>
  <c r="Q39" i="29"/>
  <c r="Q103" i="29"/>
  <c r="Q166" i="29"/>
  <c r="Q230" i="29"/>
  <c r="Q292" i="29"/>
  <c r="Q56" i="29"/>
  <c r="Q159" i="29"/>
  <c r="Q200" i="29"/>
  <c r="Q50" i="29"/>
  <c r="Q114" i="29"/>
  <c r="Q177" i="29"/>
  <c r="Q241" i="29"/>
  <c r="Q293" i="29"/>
  <c r="Q21" i="29"/>
  <c r="Q83" i="29"/>
  <c r="Q147" i="29"/>
  <c r="Q210" i="29"/>
  <c r="Q272" i="29"/>
  <c r="Q281" i="29"/>
  <c r="Q65" i="29"/>
  <c r="Q30" i="29"/>
  <c r="Q92" i="29"/>
  <c r="Q156" i="29"/>
  <c r="Q227" i="29"/>
  <c r="Q152" i="29"/>
  <c r="Q184" i="29"/>
  <c r="Q53" i="29"/>
  <c r="Q117" i="29"/>
  <c r="Q180" i="29"/>
  <c r="Q244" i="29"/>
  <c r="Q121" i="29"/>
  <c r="Q38" i="29"/>
  <c r="Q165" i="29"/>
  <c r="Q299" i="29"/>
  <c r="Q91" i="29"/>
  <c r="Q296" i="29"/>
  <c r="Q100" i="29"/>
  <c r="Q243" i="29"/>
  <c r="Q224" i="29"/>
  <c r="Q188" i="29"/>
  <c r="Q167" i="29"/>
  <c r="Q46" i="29"/>
  <c r="Q173" i="29"/>
  <c r="Q266" i="29"/>
  <c r="Q135" i="29"/>
  <c r="Q82" i="29"/>
  <c r="Q192" i="29"/>
  <c r="Q242" i="29"/>
  <c r="Q60" i="29"/>
  <c r="Q23" i="29"/>
  <c r="Q274" i="29"/>
  <c r="Q134" i="29"/>
  <c r="Q55" i="29"/>
  <c r="Q119" i="29"/>
  <c r="Q182" i="29"/>
  <c r="Q246" i="29"/>
  <c r="Q10" i="29"/>
  <c r="Q72" i="29"/>
  <c r="Q239" i="29"/>
  <c r="Q66" i="29"/>
  <c r="Q130" i="29"/>
  <c r="Q193" i="29"/>
  <c r="Q257" i="29"/>
  <c r="Q267" i="29"/>
  <c r="Q89" i="29"/>
  <c r="Q35" i="29"/>
  <c r="Q99" i="29"/>
  <c r="Q162" i="29"/>
  <c r="Q226" i="29"/>
  <c r="Q288" i="29"/>
  <c r="Q297" i="29"/>
  <c r="Q129" i="29"/>
  <c r="Q44" i="29"/>
  <c r="Q108" i="29"/>
  <c r="Q171" i="29"/>
  <c r="Q259" i="29"/>
  <c r="Q223" i="29"/>
  <c r="Q286" i="29"/>
  <c r="Q69" i="29"/>
  <c r="Q133" i="29"/>
  <c r="Q196" i="29"/>
  <c r="Q260" i="29"/>
  <c r="Q207" i="29"/>
  <c r="Q208" i="29"/>
  <c r="Q54" i="29"/>
  <c r="Q118" i="29"/>
  <c r="Q181" i="29"/>
  <c r="Q245" i="29"/>
  <c r="Q63" i="29"/>
  <c r="Q127" i="29"/>
  <c r="Q190" i="29"/>
  <c r="Q254" i="29"/>
  <c r="Q18" i="29"/>
  <c r="Q80" i="29"/>
  <c r="Q277" i="29"/>
  <c r="Q12" i="29"/>
  <c r="Q74" i="29"/>
  <c r="Q138" i="29"/>
  <c r="Q201" i="29"/>
  <c r="Q263" i="29"/>
  <c r="Q283" i="29"/>
  <c r="Q145" i="29"/>
  <c r="Q43" i="29"/>
  <c r="Q107" i="29"/>
  <c r="Q170" i="29"/>
  <c r="Q234" i="29"/>
  <c r="Q295" i="29"/>
  <c r="Q128" i="29"/>
  <c r="Q176" i="29"/>
  <c r="Q52" i="29"/>
  <c r="Q116" i="29"/>
  <c r="Q179" i="29"/>
  <c r="Q273" i="29"/>
  <c r="Q247" i="29"/>
  <c r="Q77" i="29"/>
  <c r="Q204" i="29"/>
  <c r="Q256" i="29"/>
  <c r="Q126" i="29"/>
  <c r="Q275" i="29"/>
  <c r="Q71" i="29"/>
  <c r="Q262" i="29"/>
  <c r="Q88" i="29"/>
  <c r="Q20" i="29"/>
  <c r="Q209" i="29"/>
  <c r="Q96" i="29"/>
  <c r="Q115" i="29"/>
  <c r="Q191" i="29"/>
  <c r="Q124" i="29"/>
  <c r="Q285" i="29"/>
  <c r="Q212" i="29"/>
  <c r="Q301" i="29"/>
  <c r="Q49" i="29"/>
  <c r="I302" i="21"/>
  <c r="E27" i="57" l="1"/>
  <c r="H27" i="57" s="1"/>
  <c r="R302" i="29"/>
  <c r="R305" i="29" s="1"/>
  <c r="Q302" i="29"/>
  <c r="Q305" i="29" s="1"/>
  <c r="J8" i="21" l="1"/>
  <c r="G8" i="21"/>
  <c r="D8" i="21"/>
  <c r="F8" i="21"/>
  <c r="E8" i="21"/>
  <c r="J9" i="21"/>
  <c r="H9" i="21"/>
  <c r="F9" i="21"/>
  <c r="D9" i="21"/>
  <c r="G9" i="21"/>
  <c r="E9" i="21"/>
  <c r="F10" i="21"/>
  <c r="H10" i="21"/>
  <c r="G10" i="21"/>
  <c r="J10" i="21"/>
  <c r="D10" i="21"/>
  <c r="E10" i="21"/>
  <c r="H11" i="21"/>
  <c r="F11" i="21"/>
  <c r="E11" i="21"/>
  <c r="J11" i="21"/>
  <c r="D11" i="21"/>
  <c r="G11" i="21"/>
  <c r="L11" i="21" l="1"/>
  <c r="L8" i="21"/>
  <c r="L9" i="21"/>
  <c r="L10" i="21"/>
  <c r="P10" i="29"/>
  <c r="P11" i="29"/>
  <c r="F8" i="9" l="1"/>
  <c r="H9" i="55"/>
  <c r="H12" i="55"/>
  <c r="H11" i="55"/>
  <c r="H10" i="55"/>
  <c r="F10" i="9" l="1"/>
  <c r="F9" i="9"/>
  <c r="F12" i="9"/>
  <c r="H57" i="55" l="1"/>
  <c r="H214" i="55"/>
  <c r="H20" i="55"/>
  <c r="H30" i="55"/>
  <c r="H36" i="55"/>
  <c r="F59" i="21"/>
  <c r="H60" i="55"/>
  <c r="H76" i="55"/>
  <c r="H174" i="55"/>
  <c r="H238" i="55"/>
  <c r="H22" i="55"/>
  <c r="H18" i="55"/>
  <c r="H55" i="55"/>
  <c r="H92" i="55"/>
  <c r="H135" i="55"/>
  <c r="H28" i="55"/>
  <c r="H31" i="55"/>
  <c r="H17" i="55"/>
  <c r="H86" i="55"/>
  <c r="H137" i="55"/>
  <c r="H270" i="55"/>
  <c r="H179" i="55"/>
  <c r="H122" i="55"/>
  <c r="H193" i="55"/>
  <c r="H217" i="55"/>
  <c r="H164" i="55"/>
  <c r="H260" i="55"/>
  <c r="H255" i="55"/>
  <c r="H300" i="55"/>
  <c r="H155" i="55"/>
  <c r="H272" i="55"/>
  <c r="F76" i="9" l="1"/>
  <c r="F92" i="9"/>
  <c r="F115" i="21"/>
  <c r="H262" i="55"/>
  <c r="H198" i="55"/>
  <c r="J27" i="21"/>
  <c r="H45" i="55"/>
  <c r="H266" i="55"/>
  <c r="H141" i="55"/>
  <c r="H83" i="55"/>
  <c r="H258" i="55"/>
  <c r="H194" i="55"/>
  <c r="H249" i="55"/>
  <c r="H185" i="55"/>
  <c r="H81" i="55"/>
  <c r="H168" i="55"/>
  <c r="H100" i="55"/>
  <c r="C302" i="2"/>
  <c r="H154" i="55"/>
  <c r="H288" i="55"/>
  <c r="H234" i="55"/>
  <c r="H170" i="55"/>
  <c r="H131" i="55"/>
  <c r="H104" i="55"/>
  <c r="H293" i="55"/>
  <c r="H207" i="55"/>
  <c r="H183" i="55"/>
  <c r="H144" i="55"/>
  <c r="H85" i="55"/>
  <c r="H106" i="55"/>
  <c r="H294" i="55"/>
  <c r="H138" i="55"/>
  <c r="H70" i="55"/>
  <c r="H72" i="55"/>
  <c r="H13" i="55"/>
  <c r="D61" i="21"/>
  <c r="G61" i="21"/>
  <c r="J61" i="21"/>
  <c r="H61" i="21"/>
  <c r="F61" i="21"/>
  <c r="E61" i="21"/>
  <c r="D45" i="21"/>
  <c r="G45" i="21"/>
  <c r="F45" i="21"/>
  <c r="E45" i="21"/>
  <c r="J45" i="21"/>
  <c r="H45" i="21"/>
  <c r="H107" i="55"/>
  <c r="H218" i="55"/>
  <c r="H277" i="55"/>
  <c r="H120" i="55"/>
  <c r="H291" i="55"/>
  <c r="H275" i="55"/>
  <c r="H261" i="55"/>
  <c r="H245" i="55"/>
  <c r="H229" i="55"/>
  <c r="H213" i="55"/>
  <c r="H197" i="55"/>
  <c r="H181" i="55"/>
  <c r="H165" i="55"/>
  <c r="H150" i="55"/>
  <c r="H134" i="55"/>
  <c r="H118" i="55"/>
  <c r="H99" i="55"/>
  <c r="H210" i="55"/>
  <c r="H80" i="55"/>
  <c r="H269" i="55"/>
  <c r="H231" i="55"/>
  <c r="H167" i="55"/>
  <c r="H77" i="55"/>
  <c r="H236" i="55"/>
  <c r="H172" i="55"/>
  <c r="H233" i="55"/>
  <c r="H169" i="55"/>
  <c r="H289" i="55"/>
  <c r="H227" i="55"/>
  <c r="H163" i="55"/>
  <c r="H250" i="55"/>
  <c r="H186" i="55"/>
  <c r="H147" i="55"/>
  <c r="H247" i="55"/>
  <c r="H191" i="55"/>
  <c r="H90" i="55"/>
  <c r="H240" i="55"/>
  <c r="H115" i="55"/>
  <c r="H226" i="55"/>
  <c r="H162" i="55"/>
  <c r="H123" i="55"/>
  <c r="H96" i="55"/>
  <c r="H285" i="55"/>
  <c r="H297" i="55"/>
  <c r="H111" i="55"/>
  <c r="H273" i="55"/>
  <c r="H211" i="55"/>
  <c r="H151" i="55"/>
  <c r="H19" i="55"/>
  <c r="H69" i="55"/>
  <c r="H145" i="55"/>
  <c r="H91" i="55"/>
  <c r="H295" i="55"/>
  <c r="H280" i="55"/>
  <c r="H264" i="55"/>
  <c r="H202" i="55"/>
  <c r="H136" i="55"/>
  <c r="H109" i="55"/>
  <c r="H42" i="55"/>
  <c r="H88" i="55"/>
  <c r="H204" i="55"/>
  <c r="H298" i="55"/>
  <c r="H283" i="55"/>
  <c r="H267" i="55"/>
  <c r="H253" i="55"/>
  <c r="H237" i="55"/>
  <c r="H221" i="55"/>
  <c r="H205" i="55"/>
  <c r="H189" i="55"/>
  <c r="H173" i="55"/>
  <c r="H158" i="55"/>
  <c r="H142" i="55"/>
  <c r="H126" i="55"/>
  <c r="H242" i="55"/>
  <c r="H178" i="55"/>
  <c r="H139" i="55"/>
  <c r="H112" i="55"/>
  <c r="H239" i="55"/>
  <c r="H199" i="55"/>
  <c r="H175" i="55"/>
  <c r="H128" i="55"/>
  <c r="H101" i="55"/>
  <c r="H252" i="55"/>
  <c r="H188" i="55"/>
  <c r="H125" i="55"/>
  <c r="H65" i="55"/>
  <c r="H223" i="55"/>
  <c r="H159" i="55"/>
  <c r="H290" i="55"/>
  <c r="H228" i="55"/>
  <c r="H82" i="55"/>
  <c r="H287" i="55"/>
  <c r="H225" i="55"/>
  <c r="H161" i="55"/>
  <c r="H130" i="55"/>
  <c r="H103" i="55"/>
  <c r="H265" i="55"/>
  <c r="H203" i="55"/>
  <c r="H140" i="55"/>
  <c r="H208" i="55"/>
  <c r="H121" i="55"/>
  <c r="H102" i="55"/>
  <c r="H127" i="55"/>
  <c r="H46" i="55"/>
  <c r="H268" i="55"/>
  <c r="H48" i="55"/>
  <c r="H119" i="55"/>
  <c r="H108" i="55"/>
  <c r="H284" i="55"/>
  <c r="H25" i="55"/>
  <c r="H263" i="55"/>
  <c r="H201" i="55"/>
  <c r="H79" i="55"/>
  <c r="H243" i="55"/>
  <c r="H116" i="55"/>
  <c r="E12" i="57" s="1"/>
  <c r="H12" i="57" s="1"/>
  <c r="H97" i="55"/>
  <c r="H286" i="55"/>
  <c r="H256" i="55"/>
  <c r="H184" i="55"/>
  <c r="H24" i="55"/>
  <c r="H292" i="55"/>
  <c r="H166" i="55"/>
  <c r="H73" i="55"/>
  <c r="H26" i="55"/>
  <c r="H23" i="55"/>
  <c r="H58" i="55"/>
  <c r="H33" i="55"/>
  <c r="H52" i="55"/>
  <c r="D17" i="21"/>
  <c r="J17" i="21"/>
  <c r="F17" i="21"/>
  <c r="H17" i="21"/>
  <c r="G17" i="21"/>
  <c r="E17" i="21"/>
  <c r="D43" i="21"/>
  <c r="J43" i="21"/>
  <c r="G43" i="21"/>
  <c r="F43" i="21"/>
  <c r="E43" i="21"/>
  <c r="H43" i="21"/>
  <c r="H244" i="55"/>
  <c r="H180" i="55"/>
  <c r="H117" i="55"/>
  <c r="H98" i="55"/>
  <c r="H241" i="55"/>
  <c r="H177" i="55"/>
  <c r="H146" i="55"/>
  <c r="H281" i="55"/>
  <c r="H219" i="55"/>
  <c r="H156" i="55"/>
  <c r="H232" i="55"/>
  <c r="H160" i="55"/>
  <c r="H254" i="55"/>
  <c r="H62" i="55"/>
  <c r="H67" i="55"/>
  <c r="H51" i="55"/>
  <c r="H35" i="55"/>
  <c r="H64" i="55"/>
  <c r="H246" i="55"/>
  <c r="H61" i="55"/>
  <c r="D70" i="21"/>
  <c r="J70" i="21"/>
  <c r="G70" i="21"/>
  <c r="F70" i="21"/>
  <c r="E70" i="21"/>
  <c r="D54" i="21"/>
  <c r="F54" i="21"/>
  <c r="G54" i="21"/>
  <c r="J54" i="21"/>
  <c r="E54" i="21"/>
  <c r="H54" i="21"/>
  <c r="D137" i="21"/>
  <c r="F137" i="21"/>
  <c r="J137" i="21"/>
  <c r="E137" i="21"/>
  <c r="H137" i="21"/>
  <c r="H215" i="55"/>
  <c r="H152" i="55"/>
  <c r="H282" i="55"/>
  <c r="H220" i="55"/>
  <c r="H157" i="55"/>
  <c r="H279" i="55"/>
  <c r="H95" i="55"/>
  <c r="H259" i="55"/>
  <c r="H195" i="55"/>
  <c r="H132" i="55"/>
  <c r="H113" i="55"/>
  <c r="H301" i="55"/>
  <c r="H200" i="55"/>
  <c r="H94" i="55"/>
  <c r="H38" i="55"/>
  <c r="H206" i="55"/>
  <c r="H40" i="55"/>
  <c r="H49" i="55"/>
  <c r="H37" i="55"/>
  <c r="H74" i="55"/>
  <c r="H68" i="55"/>
  <c r="D59" i="21"/>
  <c r="G59" i="21"/>
  <c r="H59" i="21"/>
  <c r="E59" i="21"/>
  <c r="J59" i="21"/>
  <c r="H196" i="55"/>
  <c r="H133" i="55"/>
  <c r="H114" i="55"/>
  <c r="H257" i="55"/>
  <c r="H296" i="55"/>
  <c r="H235" i="55"/>
  <c r="H171" i="55"/>
  <c r="H89" i="55"/>
  <c r="H278" i="55"/>
  <c r="H248" i="55"/>
  <c r="H176" i="55"/>
  <c r="H153" i="55"/>
  <c r="H84" i="55"/>
  <c r="H78" i="55"/>
  <c r="H14" i="55"/>
  <c r="H41" i="55"/>
  <c r="H222" i="55"/>
  <c r="H50" i="55"/>
  <c r="H148" i="55"/>
  <c r="H224" i="55"/>
  <c r="H216" i="55"/>
  <c r="H129" i="55"/>
  <c r="H110" i="55"/>
  <c r="H190" i="55"/>
  <c r="H54" i="55"/>
  <c r="H230" i="55"/>
  <c r="H276" i="55"/>
  <c r="H56" i="55"/>
  <c r="H21" i="55"/>
  <c r="H182" i="55"/>
  <c r="H53" i="55"/>
  <c r="H71" i="55"/>
  <c r="G137" i="21"/>
  <c r="H93" i="55"/>
  <c r="H274" i="55"/>
  <c r="H212" i="55"/>
  <c r="H149" i="55"/>
  <c r="H271" i="55"/>
  <c r="H209" i="55"/>
  <c r="H87" i="55"/>
  <c r="H251" i="55"/>
  <c r="H187" i="55"/>
  <c r="H124" i="55"/>
  <c r="H105" i="55"/>
  <c r="H192" i="55"/>
  <c r="H32" i="55"/>
  <c r="H75" i="55"/>
  <c r="H59" i="55"/>
  <c r="H43" i="55"/>
  <c r="H29" i="55"/>
  <c r="H143" i="55"/>
  <c r="H34" i="55"/>
  <c r="H15" i="55"/>
  <c r="H66" i="55"/>
  <c r="H70" i="21"/>
  <c r="E115" i="21"/>
  <c r="H47" i="55"/>
  <c r="H27" i="55"/>
  <c r="H16" i="55"/>
  <c r="H63" i="55"/>
  <c r="H44" i="55"/>
  <c r="H39" i="55"/>
  <c r="H115" i="21"/>
  <c r="H299" i="55"/>
  <c r="L59" i="21" l="1"/>
  <c r="L61" i="21"/>
  <c r="L137" i="21"/>
  <c r="L70" i="21"/>
  <c r="L17" i="21"/>
  <c r="L45" i="21"/>
  <c r="L54" i="21"/>
  <c r="L43" i="21"/>
  <c r="H302" i="55"/>
  <c r="P70" i="29"/>
  <c r="P54" i="29"/>
  <c r="P17" i="29"/>
  <c r="P59" i="29"/>
  <c r="P43" i="29"/>
  <c r="P45" i="29"/>
  <c r="P61" i="29"/>
  <c r="F87" i="9"/>
  <c r="F274" i="9"/>
  <c r="F84" i="9"/>
  <c r="F37" i="9"/>
  <c r="F48" i="9"/>
  <c r="F139" i="9"/>
  <c r="F142" i="9"/>
  <c r="F109" i="9"/>
  <c r="F91" i="9"/>
  <c r="F111" i="9"/>
  <c r="F233" i="9"/>
  <c r="F39" i="9"/>
  <c r="F271" i="9"/>
  <c r="F14" i="9"/>
  <c r="F296" i="9"/>
  <c r="F257" i="9"/>
  <c r="F232" i="9"/>
  <c r="F33" i="9"/>
  <c r="F184" i="9"/>
  <c r="F116" i="9"/>
  <c r="F79" i="9"/>
  <c r="F201" i="9"/>
  <c r="F119" i="9"/>
  <c r="F242" i="9"/>
  <c r="F237" i="9"/>
  <c r="F202" i="9"/>
  <c r="F285" i="9"/>
  <c r="F229" i="9"/>
  <c r="F218" i="9"/>
  <c r="F278" i="9"/>
  <c r="F166" i="9"/>
  <c r="F103" i="9"/>
  <c r="F189" i="9"/>
  <c r="F115" i="9"/>
  <c r="F72" i="9"/>
  <c r="F106" i="9"/>
  <c r="F44" i="9"/>
  <c r="F187" i="9"/>
  <c r="F78" i="9"/>
  <c r="F117" i="9"/>
  <c r="F58" i="9"/>
  <c r="F102" i="9"/>
  <c r="F65" i="9"/>
  <c r="F112" i="9"/>
  <c r="F240" i="9"/>
  <c r="F163" i="9"/>
  <c r="F294" i="9"/>
  <c r="F141" i="9"/>
  <c r="F75" i="9"/>
  <c r="F149" i="9"/>
  <c r="F276" i="9"/>
  <c r="F230" i="9"/>
  <c r="F110" i="9"/>
  <c r="F195" i="9"/>
  <c r="F61" i="9"/>
  <c r="F67" i="9"/>
  <c r="F160" i="9"/>
  <c r="F156" i="9"/>
  <c r="F180" i="9"/>
  <c r="F268" i="9"/>
  <c r="F140" i="9"/>
  <c r="F287" i="9"/>
  <c r="F290" i="9"/>
  <c r="F295" i="9"/>
  <c r="F151" i="9"/>
  <c r="F273" i="9"/>
  <c r="F226" i="9"/>
  <c r="F169" i="9"/>
  <c r="F236" i="9"/>
  <c r="F99" i="9"/>
  <c r="F150" i="9"/>
  <c r="F275" i="9"/>
  <c r="F144" i="9"/>
  <c r="F183" i="9"/>
  <c r="F154" i="9"/>
  <c r="F219" i="9"/>
  <c r="F52" i="9"/>
  <c r="F23" i="9"/>
  <c r="F252" i="9"/>
  <c r="F101" i="9"/>
  <c r="F162" i="9"/>
  <c r="F197" i="9"/>
  <c r="F192" i="9"/>
  <c r="F222" i="9"/>
  <c r="F176" i="9"/>
  <c r="F40" i="9"/>
  <c r="F177" i="9"/>
  <c r="F98" i="9"/>
  <c r="F244" i="9"/>
  <c r="F25" i="9"/>
  <c r="F265" i="9"/>
  <c r="F253" i="9"/>
  <c r="F298" i="9"/>
  <c r="F69" i="9"/>
  <c r="F211" i="9"/>
  <c r="F297" i="9"/>
  <c r="F289" i="9"/>
  <c r="F77" i="9"/>
  <c r="F245" i="9"/>
  <c r="F120" i="9"/>
  <c r="F258" i="9"/>
  <c r="F262" i="9"/>
  <c r="F200" i="9"/>
  <c r="F124" i="9"/>
  <c r="F196" i="9"/>
  <c r="F94" i="9"/>
  <c r="F132" i="9"/>
  <c r="F62" i="9"/>
  <c r="F281" i="9"/>
  <c r="F292" i="9"/>
  <c r="F286" i="9"/>
  <c r="F284" i="9"/>
  <c r="F161" i="9"/>
  <c r="F199" i="9"/>
  <c r="F205" i="9"/>
  <c r="F167" i="9"/>
  <c r="F138" i="9"/>
  <c r="F209" i="9"/>
  <c r="F89" i="9"/>
  <c r="F74" i="9"/>
  <c r="F130" i="9"/>
  <c r="F126" i="9"/>
  <c r="F80" i="9"/>
  <c r="F291" i="9"/>
  <c r="F249" i="9"/>
  <c r="F83" i="9"/>
  <c r="F216" i="9"/>
  <c r="F49" i="9"/>
  <c r="F259" i="9"/>
  <c r="F29" i="9"/>
  <c r="F182" i="9"/>
  <c r="F190" i="9"/>
  <c r="F279" i="9"/>
  <c r="F19" i="9"/>
  <c r="F93" i="9"/>
  <c r="F129" i="9"/>
  <c r="F148" i="9"/>
  <c r="F248" i="9"/>
  <c r="F133" i="9"/>
  <c r="F215" i="9"/>
  <c r="F73" i="9"/>
  <c r="F108" i="9"/>
  <c r="F159" i="9"/>
  <c r="F165" i="9"/>
  <c r="F168" i="9"/>
  <c r="F27" i="9"/>
  <c r="F41" i="9"/>
  <c r="F153" i="9"/>
  <c r="F113" i="9"/>
  <c r="F95" i="9"/>
  <c r="F51" i="9"/>
  <c r="F146" i="9"/>
  <c r="F24" i="9"/>
  <c r="F97" i="9"/>
  <c r="F263" i="9"/>
  <c r="F82" i="9"/>
  <c r="F125" i="9"/>
  <c r="F178" i="9"/>
  <c r="F267" i="9"/>
  <c r="F88" i="9"/>
  <c r="F264" i="9"/>
  <c r="F96" i="9"/>
  <c r="F147" i="9"/>
  <c r="F213" i="9"/>
  <c r="F277" i="9"/>
  <c r="F107" i="9"/>
  <c r="F170" i="9"/>
  <c r="F288" i="9"/>
  <c r="F100" i="9"/>
  <c r="F266" i="9"/>
  <c r="F171" i="9"/>
  <c r="F157" i="9"/>
  <c r="F63" i="9"/>
  <c r="F16" i="9"/>
  <c r="F47" i="9"/>
  <c r="F54" i="9"/>
  <c r="F50" i="9"/>
  <c r="F206" i="9"/>
  <c r="F64" i="9"/>
  <c r="F46" i="9"/>
  <c r="F225" i="9"/>
  <c r="F228" i="9"/>
  <c r="F128" i="9"/>
  <c r="F204" i="9"/>
  <c r="F42" i="9"/>
  <c r="F145" i="9"/>
  <c r="F227" i="9"/>
  <c r="F172" i="9"/>
  <c r="F134" i="9"/>
  <c r="F261" i="9"/>
  <c r="F70" i="9"/>
  <c r="F85" i="9"/>
  <c r="F131" i="9"/>
  <c r="F194" i="9"/>
  <c r="F45" i="9"/>
  <c r="F59" i="9"/>
  <c r="F32" i="9"/>
  <c r="F251" i="9"/>
  <c r="F191" i="9"/>
  <c r="F186" i="9"/>
  <c r="F269" i="9"/>
  <c r="F81" i="9"/>
  <c r="F143" i="9"/>
  <c r="F212" i="9"/>
  <c r="F38" i="9"/>
  <c r="F282" i="9"/>
  <c r="F188" i="9"/>
  <c r="F158" i="9"/>
  <c r="F123" i="9"/>
  <c r="F90" i="9"/>
  <c r="F231" i="9"/>
  <c r="F118" i="9"/>
  <c r="F299" i="9"/>
  <c r="F71" i="9"/>
  <c r="F35" i="9"/>
  <c r="F127" i="9"/>
  <c r="F223" i="9"/>
  <c r="F175" i="9"/>
  <c r="F136" i="9"/>
  <c r="F234" i="9"/>
  <c r="F185" i="9"/>
  <c r="F43" i="9"/>
  <c r="F235" i="9"/>
  <c r="F114" i="9"/>
  <c r="F68" i="9"/>
  <c r="F220" i="9"/>
  <c r="F121" i="9"/>
  <c r="F210" i="9"/>
  <c r="F34" i="9"/>
  <c r="F241" i="9"/>
  <c r="F250" i="9"/>
  <c r="F256" i="9"/>
  <c r="F173" i="9"/>
  <c r="F221" i="9"/>
  <c r="F105" i="9"/>
  <c r="F254" i="9"/>
  <c r="F203" i="9"/>
  <c r="F181" i="9"/>
  <c r="F293" i="9"/>
  <c r="F66" i="9"/>
  <c r="F15" i="9"/>
  <c r="F56" i="9"/>
  <c r="F224" i="9"/>
  <c r="F152" i="9"/>
  <c r="F243" i="9"/>
  <c r="F208" i="9"/>
  <c r="F239" i="9"/>
  <c r="F280" i="9"/>
  <c r="F104" i="9"/>
  <c r="F21" i="9"/>
  <c r="F283" i="9"/>
  <c r="F198" i="9"/>
  <c r="F26" i="9"/>
  <c r="F53" i="9"/>
  <c r="F20" i="9"/>
  <c r="F28" i="9"/>
  <c r="F22" i="9"/>
  <c r="F18" i="9"/>
  <c r="F135" i="9"/>
  <c r="F55" i="9"/>
  <c r="F300" i="9"/>
  <c r="F86" i="9"/>
  <c r="F255" i="9"/>
  <c r="F122" i="9"/>
  <c r="F270" i="9"/>
  <c r="F31" i="9"/>
  <c r="F17" i="9"/>
  <c r="F193" i="9"/>
  <c r="F272" i="9"/>
  <c r="F238" i="9"/>
  <c r="F179" i="9"/>
  <c r="F155" i="9"/>
  <c r="F57" i="9"/>
  <c r="F214" i="9"/>
  <c r="F164" i="9"/>
  <c r="F137" i="9"/>
  <c r="F30" i="9"/>
  <c r="F36" i="9"/>
  <c r="F60" i="9"/>
  <c r="F260" i="9"/>
  <c r="F174" i="9"/>
  <c r="F217" i="9"/>
  <c r="H27" i="21"/>
  <c r="G27" i="21"/>
  <c r="F27" i="21"/>
  <c r="D27" i="21"/>
  <c r="E27" i="21"/>
  <c r="D115" i="21"/>
  <c r="G115" i="21"/>
  <c r="J115" i="21"/>
  <c r="D232" i="21"/>
  <c r="F232" i="21"/>
  <c r="G232" i="21"/>
  <c r="H232" i="21"/>
  <c r="J232" i="21"/>
  <c r="E232" i="21"/>
  <c r="D187" i="21"/>
  <c r="E187" i="21"/>
  <c r="J187" i="21"/>
  <c r="F187" i="21"/>
  <c r="H187" i="21"/>
  <c r="G187" i="21"/>
  <c r="D292" i="21"/>
  <c r="F292" i="21"/>
  <c r="G292" i="21"/>
  <c r="E292" i="21"/>
  <c r="H292" i="21"/>
  <c r="J292" i="21"/>
  <c r="D200" i="21"/>
  <c r="G200" i="21"/>
  <c r="F200" i="21"/>
  <c r="J200" i="21"/>
  <c r="H200" i="21"/>
  <c r="E200" i="21"/>
  <c r="D208" i="21"/>
  <c r="H208" i="21"/>
  <c r="E208" i="21"/>
  <c r="J208" i="21"/>
  <c r="G208" i="21"/>
  <c r="F208" i="21"/>
  <c r="D24" i="21"/>
  <c r="E24" i="21"/>
  <c r="H24" i="21"/>
  <c r="F24" i="21"/>
  <c r="G24" i="21"/>
  <c r="J24" i="21"/>
  <c r="D23" i="21"/>
  <c r="H23" i="21"/>
  <c r="F23" i="21"/>
  <c r="E23" i="21"/>
  <c r="G23" i="21"/>
  <c r="J23" i="21"/>
  <c r="D155" i="21"/>
  <c r="J155" i="21"/>
  <c r="F155" i="21"/>
  <c r="H155" i="21"/>
  <c r="G155" i="21"/>
  <c r="E155" i="21"/>
  <c r="D226" i="21"/>
  <c r="G226" i="21"/>
  <c r="E226" i="21"/>
  <c r="J226" i="21"/>
  <c r="F226" i="21"/>
  <c r="H226" i="21"/>
  <c r="D235" i="21"/>
  <c r="G235" i="21"/>
  <c r="H235" i="21"/>
  <c r="F235" i="21"/>
  <c r="E235" i="21"/>
  <c r="J235" i="21"/>
  <c r="D299" i="21"/>
  <c r="G299" i="21"/>
  <c r="E299" i="21"/>
  <c r="F299" i="21"/>
  <c r="J299" i="21"/>
  <c r="H299" i="21"/>
  <c r="D76" i="21"/>
  <c r="F76" i="21"/>
  <c r="H76" i="21"/>
  <c r="J76" i="21"/>
  <c r="E76" i="21"/>
  <c r="G76" i="21"/>
  <c r="D42" i="21"/>
  <c r="F42" i="21"/>
  <c r="G42" i="21"/>
  <c r="E42" i="21"/>
  <c r="H42" i="21"/>
  <c r="J42" i="21"/>
  <c r="D202" i="21"/>
  <c r="J202" i="21"/>
  <c r="H202" i="21"/>
  <c r="E202" i="21"/>
  <c r="F202" i="21"/>
  <c r="G202" i="21"/>
  <c r="D261" i="21"/>
  <c r="G261" i="21"/>
  <c r="E261" i="21"/>
  <c r="F261" i="21"/>
  <c r="J261" i="21"/>
  <c r="H261" i="21"/>
  <c r="D18" i="21"/>
  <c r="J18" i="21"/>
  <c r="H18" i="21"/>
  <c r="F18" i="21"/>
  <c r="E18" i="21"/>
  <c r="G18" i="21"/>
  <c r="D64" i="21"/>
  <c r="H64" i="21"/>
  <c r="J64" i="21"/>
  <c r="E64" i="21"/>
  <c r="F64" i="21"/>
  <c r="G64" i="21"/>
  <c r="D246" i="21"/>
  <c r="F246" i="21"/>
  <c r="J246" i="21"/>
  <c r="E246" i="21"/>
  <c r="G246" i="21"/>
  <c r="H246" i="21"/>
  <c r="D19" i="21"/>
  <c r="H19" i="21"/>
  <c r="J19" i="21"/>
  <c r="G19" i="21"/>
  <c r="E19" i="21"/>
  <c r="F19" i="21"/>
  <c r="D265" i="21"/>
  <c r="G265" i="21"/>
  <c r="J265" i="21"/>
  <c r="H265" i="21"/>
  <c r="E265" i="21"/>
  <c r="F265" i="21"/>
  <c r="D16" i="21"/>
  <c r="J16" i="21"/>
  <c r="E16" i="21"/>
  <c r="H16" i="21"/>
  <c r="F16" i="21"/>
  <c r="G16" i="21"/>
  <c r="D132" i="21"/>
  <c r="H132" i="21"/>
  <c r="G132" i="21"/>
  <c r="E132" i="21"/>
  <c r="F132" i="21"/>
  <c r="J132" i="21"/>
  <c r="D227" i="21"/>
  <c r="J227" i="21"/>
  <c r="G227" i="21"/>
  <c r="H227" i="21"/>
  <c r="E227" i="21"/>
  <c r="F227" i="21"/>
  <c r="D127" i="21"/>
  <c r="H127" i="21"/>
  <c r="G127" i="21"/>
  <c r="F127" i="21"/>
  <c r="J127" i="21"/>
  <c r="E127" i="21"/>
  <c r="D103" i="21"/>
  <c r="F103" i="21"/>
  <c r="J103" i="21"/>
  <c r="E103" i="21"/>
  <c r="H103" i="21"/>
  <c r="G103" i="21"/>
  <c r="D204" i="21"/>
  <c r="E204" i="21"/>
  <c r="J204" i="21"/>
  <c r="G204" i="21"/>
  <c r="F204" i="21"/>
  <c r="H204" i="21"/>
  <c r="D152" i="21"/>
  <c r="F152" i="21"/>
  <c r="E152" i="21"/>
  <c r="H152" i="21"/>
  <c r="G152" i="21"/>
  <c r="J152" i="21"/>
  <c r="D211" i="21"/>
  <c r="F211" i="21"/>
  <c r="H211" i="21"/>
  <c r="G211" i="21"/>
  <c r="E211" i="21"/>
  <c r="J211" i="21"/>
  <c r="D209" i="21"/>
  <c r="H209" i="21"/>
  <c r="F209" i="21"/>
  <c r="G209" i="21"/>
  <c r="J209" i="21"/>
  <c r="E209" i="21"/>
  <c r="D149" i="21"/>
  <c r="J149" i="21"/>
  <c r="F149" i="21"/>
  <c r="E149" i="21"/>
  <c r="H149" i="21"/>
  <c r="G149" i="21"/>
  <c r="D34" i="21"/>
  <c r="J34" i="21"/>
  <c r="G34" i="21"/>
  <c r="F34" i="21"/>
  <c r="H34" i="21"/>
  <c r="E34" i="21"/>
  <c r="D230" i="21"/>
  <c r="F230" i="21"/>
  <c r="J230" i="21"/>
  <c r="E230" i="21"/>
  <c r="H230" i="21"/>
  <c r="G230" i="21"/>
  <c r="D95" i="21"/>
  <c r="F95" i="21"/>
  <c r="J95" i="21"/>
  <c r="H95" i="21"/>
  <c r="G95" i="21"/>
  <c r="E95" i="21"/>
  <c r="D183" i="21"/>
  <c r="E183" i="21"/>
  <c r="J183" i="21"/>
  <c r="G183" i="21"/>
  <c r="F183" i="21"/>
  <c r="H183" i="21"/>
  <c r="D282" i="21"/>
  <c r="H282" i="21"/>
  <c r="G282" i="21"/>
  <c r="F282" i="21"/>
  <c r="E282" i="21"/>
  <c r="J282" i="21"/>
  <c r="H285" i="21"/>
  <c r="G285" i="21"/>
  <c r="D285" i="21"/>
  <c r="E285" i="21"/>
  <c r="J285" i="21"/>
  <c r="F285" i="21"/>
  <c r="D270" i="21"/>
  <c r="H270" i="21"/>
  <c r="G270" i="21"/>
  <c r="F270" i="21"/>
  <c r="J270" i="21"/>
  <c r="E270" i="21"/>
  <c r="D260" i="21"/>
  <c r="E260" i="21"/>
  <c r="F260" i="21"/>
  <c r="J260" i="21"/>
  <c r="H260" i="21"/>
  <c r="G260" i="21"/>
  <c r="D231" i="21"/>
  <c r="H231" i="21"/>
  <c r="E231" i="21"/>
  <c r="F231" i="21"/>
  <c r="G231" i="21"/>
  <c r="J231" i="21"/>
  <c r="D248" i="21"/>
  <c r="F248" i="21"/>
  <c r="J248" i="21"/>
  <c r="E248" i="21"/>
  <c r="G248" i="21"/>
  <c r="H248" i="21"/>
  <c r="D50" i="21"/>
  <c r="G50" i="21"/>
  <c r="E50" i="21"/>
  <c r="F50" i="21"/>
  <c r="H50" i="21"/>
  <c r="J50" i="21"/>
  <c r="D284" i="21"/>
  <c r="E284" i="21"/>
  <c r="F284" i="21"/>
  <c r="J284" i="21"/>
  <c r="H284" i="21"/>
  <c r="G284" i="21"/>
  <c r="D77" i="21"/>
  <c r="H77" i="21"/>
  <c r="E77" i="21"/>
  <c r="F77" i="21"/>
  <c r="J77" i="21"/>
  <c r="G77" i="21"/>
  <c r="D106" i="21"/>
  <c r="E106" i="21"/>
  <c r="F106" i="21"/>
  <c r="H106" i="21"/>
  <c r="J106" i="21"/>
  <c r="G106" i="21"/>
  <c r="D297" i="21"/>
  <c r="F297" i="21"/>
  <c r="H297" i="21"/>
  <c r="G297" i="21"/>
  <c r="E297" i="21"/>
  <c r="J297" i="21"/>
  <c r="D85" i="21"/>
  <c r="H85" i="21"/>
  <c r="G85" i="21"/>
  <c r="F85" i="21"/>
  <c r="E85" i="21"/>
  <c r="J85" i="21"/>
  <c r="D73" i="21"/>
  <c r="G73" i="21"/>
  <c r="F73" i="21"/>
  <c r="J73" i="21"/>
  <c r="E73" i="21"/>
  <c r="H73" i="21"/>
  <c r="D153" i="21"/>
  <c r="E153" i="21"/>
  <c r="H153" i="21"/>
  <c r="F153" i="21"/>
  <c r="J153" i="21"/>
  <c r="G153" i="21"/>
  <c r="D69" i="21"/>
  <c r="F69" i="21"/>
  <c r="G69" i="21"/>
  <c r="J69" i="21"/>
  <c r="E69" i="21"/>
  <c r="H69" i="21"/>
  <c r="D53" i="21"/>
  <c r="G53" i="21"/>
  <c r="E53" i="21"/>
  <c r="H53" i="21"/>
  <c r="J53" i="21"/>
  <c r="F53" i="21"/>
  <c r="D57" i="21"/>
  <c r="E57" i="21"/>
  <c r="F57" i="21"/>
  <c r="G57" i="21"/>
  <c r="H57" i="21"/>
  <c r="J57" i="21"/>
  <c r="D14" i="21"/>
  <c r="G14" i="21"/>
  <c r="J14" i="21"/>
  <c r="E14" i="21"/>
  <c r="H14" i="21"/>
  <c r="F14" i="21"/>
  <c r="D174" i="21"/>
  <c r="G174" i="21"/>
  <c r="J174" i="21"/>
  <c r="E174" i="21"/>
  <c r="F174" i="21"/>
  <c r="H174" i="21"/>
  <c r="D238" i="21"/>
  <c r="J238" i="21"/>
  <c r="G238" i="21"/>
  <c r="E238" i="21"/>
  <c r="F238" i="21"/>
  <c r="H238" i="21"/>
  <c r="D40" i="21"/>
  <c r="F40" i="21"/>
  <c r="J40" i="21"/>
  <c r="G40" i="21"/>
  <c r="H40" i="21"/>
  <c r="E40" i="21"/>
  <c r="J192" i="21"/>
  <c r="G192" i="21"/>
  <c r="E192" i="21"/>
  <c r="F192" i="21"/>
  <c r="H192" i="21"/>
  <c r="D192" i="21"/>
  <c r="D158" i="21"/>
  <c r="G158" i="21"/>
  <c r="H158" i="21"/>
  <c r="F158" i="21"/>
  <c r="E158" i="21"/>
  <c r="J158" i="21"/>
  <c r="D80" i="21"/>
  <c r="E80" i="21"/>
  <c r="H80" i="21"/>
  <c r="J80" i="21"/>
  <c r="F80" i="21"/>
  <c r="G80" i="21"/>
  <c r="D286" i="21"/>
  <c r="E286" i="21"/>
  <c r="H286" i="21"/>
  <c r="J286" i="21"/>
  <c r="G286" i="21"/>
  <c r="F286" i="21"/>
  <c r="D123" i="21"/>
  <c r="H123" i="21"/>
  <c r="J123" i="21"/>
  <c r="E123" i="21"/>
  <c r="F123" i="21"/>
  <c r="G123" i="21"/>
  <c r="D267" i="21"/>
  <c r="J267" i="21"/>
  <c r="G267" i="21"/>
  <c r="E267" i="21"/>
  <c r="F267" i="21"/>
  <c r="H267" i="21"/>
  <c r="D44" i="21"/>
  <c r="E44" i="21"/>
  <c r="J44" i="21"/>
  <c r="G44" i="21"/>
  <c r="F44" i="21"/>
  <c r="H44" i="21"/>
  <c r="D121" i="21"/>
  <c r="E121" i="21"/>
  <c r="J121" i="21"/>
  <c r="F121" i="21"/>
  <c r="H121" i="21"/>
  <c r="G121" i="21"/>
  <c r="D108" i="21"/>
  <c r="J108" i="21"/>
  <c r="F108" i="21"/>
  <c r="E108" i="21"/>
  <c r="G108" i="21"/>
  <c r="H108" i="21"/>
  <c r="D193" i="21"/>
  <c r="H193" i="21"/>
  <c r="F193" i="21"/>
  <c r="G193" i="21"/>
  <c r="E193" i="21"/>
  <c r="J193" i="21"/>
  <c r="D266" i="21"/>
  <c r="G266" i="21"/>
  <c r="F266" i="21"/>
  <c r="E266" i="21"/>
  <c r="J266" i="21"/>
  <c r="H266" i="21"/>
  <c r="D168" i="21"/>
  <c r="F168" i="21"/>
  <c r="G168" i="21"/>
  <c r="H168" i="21"/>
  <c r="E168" i="21"/>
  <c r="J168" i="21"/>
  <c r="D169" i="21"/>
  <c r="G169" i="21"/>
  <c r="E169" i="21"/>
  <c r="J169" i="21"/>
  <c r="H169" i="21"/>
  <c r="F169" i="21"/>
  <c r="D228" i="21"/>
  <c r="H228" i="21"/>
  <c r="J228" i="21"/>
  <c r="G228" i="21"/>
  <c r="E228" i="21"/>
  <c r="F228" i="21"/>
  <c r="D236" i="21"/>
  <c r="F236" i="21"/>
  <c r="H236" i="21"/>
  <c r="J236" i="21"/>
  <c r="E236" i="21"/>
  <c r="G236" i="21"/>
  <c r="D141" i="21"/>
  <c r="G141" i="21"/>
  <c r="J141" i="21"/>
  <c r="H141" i="21"/>
  <c r="E141" i="21"/>
  <c r="F141" i="21"/>
  <c r="D189" i="21"/>
  <c r="E189" i="21"/>
  <c r="J189" i="21"/>
  <c r="F189" i="21"/>
  <c r="H189" i="21"/>
  <c r="G189" i="21"/>
  <c r="D33" i="21"/>
  <c r="E33" i="21"/>
  <c r="F33" i="21"/>
  <c r="H33" i="21"/>
  <c r="J33" i="21"/>
  <c r="G33" i="21"/>
  <c r="D117" i="21"/>
  <c r="G117" i="21"/>
  <c r="E117" i="21"/>
  <c r="F117" i="21"/>
  <c r="H117" i="21"/>
  <c r="J117" i="21"/>
  <c r="D167" i="21"/>
  <c r="E167" i="21"/>
  <c r="G167" i="21"/>
  <c r="F167" i="21"/>
  <c r="H167" i="21"/>
  <c r="J167" i="21"/>
  <c r="D37" i="21"/>
  <c r="F37" i="21"/>
  <c r="G37" i="21"/>
  <c r="E37" i="21"/>
  <c r="H37" i="21"/>
  <c r="J37" i="21"/>
  <c r="D52" i="21"/>
  <c r="H52" i="21"/>
  <c r="F52" i="21"/>
  <c r="E52" i="21"/>
  <c r="J52" i="21"/>
  <c r="G52" i="21"/>
  <c r="D94" i="21"/>
  <c r="H94" i="21"/>
  <c r="J94" i="21"/>
  <c r="E94" i="21"/>
  <c r="G94" i="21"/>
  <c r="F94" i="21"/>
  <c r="D244" i="21"/>
  <c r="E244" i="21"/>
  <c r="J244" i="21"/>
  <c r="F244" i="21"/>
  <c r="H244" i="21"/>
  <c r="G244" i="21"/>
  <c r="D114" i="21"/>
  <c r="E114" i="21"/>
  <c r="J114" i="21"/>
  <c r="F114" i="21"/>
  <c r="H114" i="21"/>
  <c r="G114" i="21"/>
  <c r="D214" i="21"/>
  <c r="G214" i="21"/>
  <c r="F214" i="21"/>
  <c r="H214" i="21"/>
  <c r="J214" i="21"/>
  <c r="E214" i="21"/>
  <c r="D294" i="21"/>
  <c r="J294" i="21"/>
  <c r="F294" i="21"/>
  <c r="H294" i="21"/>
  <c r="G294" i="21"/>
  <c r="E294" i="21"/>
  <c r="D293" i="21"/>
  <c r="J293" i="21"/>
  <c r="H293" i="21"/>
  <c r="E293" i="21"/>
  <c r="F293" i="21"/>
  <c r="G293" i="21"/>
  <c r="D22" i="21"/>
  <c r="G22" i="21"/>
  <c r="F22" i="21"/>
  <c r="J22" i="21"/>
  <c r="H22" i="21"/>
  <c r="E22" i="21"/>
  <c r="C302" i="4"/>
  <c r="D145" i="21"/>
  <c r="F145" i="21"/>
  <c r="H145" i="21"/>
  <c r="E145" i="21"/>
  <c r="G145" i="21"/>
  <c r="J145" i="21"/>
  <c r="D110" i="21"/>
  <c r="F110" i="21"/>
  <c r="G110" i="21"/>
  <c r="H110" i="21"/>
  <c r="E110" i="21"/>
  <c r="J110" i="21"/>
  <c r="D55" i="21"/>
  <c r="E55" i="21"/>
  <c r="F55" i="21"/>
  <c r="G55" i="21"/>
  <c r="J55" i="21"/>
  <c r="H55" i="21"/>
  <c r="D275" i="21"/>
  <c r="H275" i="21"/>
  <c r="E275" i="21"/>
  <c r="F275" i="21"/>
  <c r="J275" i="21"/>
  <c r="G275" i="21"/>
  <c r="D92" i="21"/>
  <c r="G92" i="21"/>
  <c r="F92" i="21"/>
  <c r="H92" i="21"/>
  <c r="J92" i="21"/>
  <c r="E92" i="21"/>
  <c r="D178" i="21"/>
  <c r="G178" i="21"/>
  <c r="F178" i="21"/>
  <c r="J178" i="21"/>
  <c r="E178" i="21"/>
  <c r="H178" i="21"/>
  <c r="D124" i="21"/>
  <c r="H124" i="21"/>
  <c r="J124" i="21"/>
  <c r="G124" i="21"/>
  <c r="F124" i="21"/>
  <c r="E124" i="21"/>
  <c r="E219" i="21"/>
  <c r="F219" i="21"/>
  <c r="G219" i="21"/>
  <c r="J219" i="21"/>
  <c r="D219" i="21"/>
  <c r="H219" i="21"/>
  <c r="D63" i="21"/>
  <c r="H63" i="21"/>
  <c r="F63" i="21"/>
  <c r="G63" i="21"/>
  <c r="E63" i="21"/>
  <c r="J63" i="21"/>
  <c r="D139" i="21"/>
  <c r="F139" i="21"/>
  <c r="G139" i="21"/>
  <c r="H139" i="21"/>
  <c r="J139" i="21"/>
  <c r="E139" i="21"/>
  <c r="D28" i="21"/>
  <c r="F28" i="21"/>
  <c r="H28" i="21"/>
  <c r="E28" i="21"/>
  <c r="J28" i="21"/>
  <c r="G28" i="21"/>
  <c r="D186" i="21"/>
  <c r="H186" i="21"/>
  <c r="G186" i="21"/>
  <c r="F186" i="21"/>
  <c r="E186" i="21"/>
  <c r="J186" i="21"/>
  <c r="D258" i="21"/>
  <c r="E258" i="21"/>
  <c r="G258" i="21"/>
  <c r="F258" i="21"/>
  <c r="J258" i="21"/>
  <c r="H258" i="21"/>
  <c r="D181" i="21"/>
  <c r="F181" i="21"/>
  <c r="E181" i="21"/>
  <c r="G181" i="21"/>
  <c r="H181" i="21"/>
  <c r="J181" i="21"/>
  <c r="D138" i="21"/>
  <c r="F138" i="21"/>
  <c r="G138" i="21"/>
  <c r="E138" i="21"/>
  <c r="H138" i="21"/>
  <c r="J138" i="21"/>
  <c r="D47" i="21"/>
  <c r="G47" i="21"/>
  <c r="E47" i="21"/>
  <c r="F47" i="21"/>
  <c r="J47" i="21"/>
  <c r="H47" i="21"/>
  <c r="D48" i="21"/>
  <c r="H48" i="21"/>
  <c r="F48" i="21"/>
  <c r="G48" i="21"/>
  <c r="J48" i="21"/>
  <c r="E48" i="21"/>
  <c r="D289" i="21"/>
  <c r="H289" i="21"/>
  <c r="F289" i="21"/>
  <c r="G289" i="21"/>
  <c r="J289" i="21"/>
  <c r="E289" i="21"/>
  <c r="F71" i="21"/>
  <c r="H71" i="21"/>
  <c r="J71" i="21"/>
  <c r="D71" i="21"/>
  <c r="E71" i="21"/>
  <c r="G71" i="21"/>
  <c r="D72" i="21"/>
  <c r="H72" i="21"/>
  <c r="J72" i="21"/>
  <c r="G72" i="21"/>
  <c r="E72" i="21"/>
  <c r="F72" i="21"/>
  <c r="D251" i="21"/>
  <c r="J251" i="21"/>
  <c r="E251" i="21"/>
  <c r="H251" i="21"/>
  <c r="F251" i="21"/>
  <c r="G251" i="21"/>
  <c r="D116" i="21"/>
  <c r="H116" i="21"/>
  <c r="J116" i="21"/>
  <c r="F116" i="21"/>
  <c r="E116" i="21"/>
  <c r="G116" i="21"/>
  <c r="D274" i="21"/>
  <c r="F274" i="21"/>
  <c r="J274" i="21"/>
  <c r="E274" i="21"/>
  <c r="H274" i="21"/>
  <c r="G274" i="21"/>
  <c r="D98" i="21"/>
  <c r="G98" i="21"/>
  <c r="H98" i="21"/>
  <c r="E98" i="21"/>
  <c r="F98" i="21"/>
  <c r="J98" i="21"/>
  <c r="D164" i="21"/>
  <c r="J164" i="21"/>
  <c r="F164" i="21"/>
  <c r="E164" i="21"/>
  <c r="G164" i="21"/>
  <c r="H164" i="21"/>
  <c r="D295" i="21"/>
  <c r="E295" i="21"/>
  <c r="F295" i="21"/>
  <c r="G295" i="21"/>
  <c r="J295" i="21"/>
  <c r="H295" i="21"/>
  <c r="D135" i="21"/>
  <c r="E135" i="21"/>
  <c r="H135" i="21"/>
  <c r="J135" i="21"/>
  <c r="F135" i="21"/>
  <c r="G135" i="21"/>
  <c r="D262" i="21"/>
  <c r="H262" i="21"/>
  <c r="G262" i="21"/>
  <c r="E262" i="21"/>
  <c r="F262" i="21"/>
  <c r="J262" i="21"/>
  <c r="D271" i="21"/>
  <c r="H271" i="21"/>
  <c r="G271" i="21"/>
  <c r="J271" i="21"/>
  <c r="E271" i="21"/>
  <c r="F271" i="21"/>
  <c r="D201" i="21"/>
  <c r="E201" i="21"/>
  <c r="H201" i="21"/>
  <c r="F201" i="21"/>
  <c r="J201" i="21"/>
  <c r="G201" i="21"/>
  <c r="H300" i="21"/>
  <c r="J300" i="21"/>
  <c r="D237" i="21"/>
  <c r="G237" i="21"/>
  <c r="H237" i="21"/>
  <c r="J237" i="21"/>
  <c r="E237" i="21"/>
  <c r="F237" i="21"/>
  <c r="D290" i="21"/>
  <c r="F290" i="21"/>
  <c r="H290" i="21"/>
  <c r="G290" i="21"/>
  <c r="E290" i="21"/>
  <c r="J290" i="21"/>
  <c r="D216" i="21"/>
  <c r="H216" i="21"/>
  <c r="J216" i="21"/>
  <c r="E216" i="21"/>
  <c r="F216" i="21"/>
  <c r="G216" i="21"/>
  <c r="D213" i="21"/>
  <c r="H213" i="21"/>
  <c r="J213" i="21"/>
  <c r="E213" i="21"/>
  <c r="G213" i="21"/>
  <c r="F213" i="21"/>
  <c r="D91" i="21"/>
  <c r="J91" i="21"/>
  <c r="E91" i="21"/>
  <c r="F91" i="21"/>
  <c r="H91" i="21"/>
  <c r="G91" i="21"/>
  <c r="D281" i="21"/>
  <c r="H281" i="21"/>
  <c r="E281" i="21"/>
  <c r="G281" i="21"/>
  <c r="J281" i="21"/>
  <c r="F281" i="21"/>
  <c r="C302" i="3"/>
  <c r="D29" i="21"/>
  <c r="E29" i="21"/>
  <c r="J29" i="21"/>
  <c r="G29" i="21"/>
  <c r="H29" i="21"/>
  <c r="F29" i="21"/>
  <c r="D129" i="21"/>
  <c r="H129" i="21"/>
  <c r="J129" i="21"/>
  <c r="G129" i="21"/>
  <c r="E129" i="21"/>
  <c r="F129" i="21"/>
  <c r="D86" i="21"/>
  <c r="H86" i="21"/>
  <c r="J86" i="21"/>
  <c r="G86" i="21"/>
  <c r="E86" i="21"/>
  <c r="F86" i="21"/>
  <c r="D56" i="21"/>
  <c r="G56" i="21"/>
  <c r="J56" i="21"/>
  <c r="E56" i="21"/>
  <c r="F56" i="21"/>
  <c r="H56" i="21"/>
  <c r="D150" i="21"/>
  <c r="H150" i="21"/>
  <c r="E150" i="21"/>
  <c r="G150" i="21"/>
  <c r="J150" i="21"/>
  <c r="F150" i="21"/>
  <c r="D296" i="21"/>
  <c r="H296" i="21"/>
  <c r="F296" i="21"/>
  <c r="E296" i="21"/>
  <c r="G296" i="21"/>
  <c r="J296" i="21"/>
  <c r="D15" i="21"/>
  <c r="E15" i="21"/>
  <c r="J15" i="21"/>
  <c r="F15" i="21"/>
  <c r="H15" i="21"/>
  <c r="G15" i="21"/>
  <c r="D301" i="21"/>
  <c r="E301" i="21"/>
  <c r="J301" i="21"/>
  <c r="H301" i="21"/>
  <c r="G301" i="21"/>
  <c r="F301" i="21"/>
  <c r="D197" i="21"/>
  <c r="J197" i="21"/>
  <c r="G197" i="21"/>
  <c r="F197" i="21"/>
  <c r="E197" i="21"/>
  <c r="H197" i="21"/>
  <c r="D66" i="21"/>
  <c r="J66" i="21"/>
  <c r="F66" i="21"/>
  <c r="E66" i="21"/>
  <c r="G66" i="21"/>
  <c r="H66" i="21"/>
  <c r="D162" i="21"/>
  <c r="J162" i="21"/>
  <c r="F162" i="21"/>
  <c r="E162" i="21"/>
  <c r="H162" i="21"/>
  <c r="G162" i="21"/>
  <c r="D283" i="21"/>
  <c r="G283" i="21"/>
  <c r="H283" i="21"/>
  <c r="F283" i="21"/>
  <c r="J283" i="21"/>
  <c r="E283" i="21"/>
  <c r="D243" i="21"/>
  <c r="J243" i="21"/>
  <c r="H243" i="21"/>
  <c r="F243" i="21"/>
  <c r="G243" i="21"/>
  <c r="E243" i="21"/>
  <c r="D100" i="21"/>
  <c r="G100" i="21"/>
  <c r="F100" i="21"/>
  <c r="E100" i="21"/>
  <c r="H100" i="21"/>
  <c r="J100" i="21"/>
  <c r="D119" i="21"/>
  <c r="E119" i="21"/>
  <c r="F119" i="21"/>
  <c r="J119" i="21"/>
  <c r="H119" i="21"/>
  <c r="G119" i="21"/>
  <c r="D256" i="21"/>
  <c r="G256" i="21"/>
  <c r="E256" i="21"/>
  <c r="F256" i="21"/>
  <c r="J256" i="21"/>
  <c r="H256" i="21"/>
  <c r="D35" i="21"/>
  <c r="G35" i="21"/>
  <c r="F35" i="21"/>
  <c r="J35" i="21"/>
  <c r="E35" i="21"/>
  <c r="H35" i="21"/>
  <c r="D268" i="21"/>
  <c r="J268" i="21"/>
  <c r="E268" i="21"/>
  <c r="H268" i="21"/>
  <c r="G268" i="21"/>
  <c r="F268" i="21"/>
  <c r="D218" i="21"/>
  <c r="F218" i="21"/>
  <c r="J218" i="21"/>
  <c r="E218" i="21"/>
  <c r="H218" i="21"/>
  <c r="G218" i="21"/>
  <c r="D105" i="21"/>
  <c r="F105" i="21"/>
  <c r="J105" i="21"/>
  <c r="H105" i="21"/>
  <c r="G105" i="21"/>
  <c r="E105" i="21"/>
  <c r="D229" i="21"/>
  <c r="G229" i="21"/>
  <c r="H229" i="21"/>
  <c r="J229" i="21"/>
  <c r="F229" i="21"/>
  <c r="E229" i="21"/>
  <c r="D195" i="21"/>
  <c r="H195" i="21"/>
  <c r="G195" i="21"/>
  <c r="F195" i="21"/>
  <c r="E195" i="21"/>
  <c r="J195" i="21"/>
  <c r="D263" i="21"/>
  <c r="G263" i="21"/>
  <c r="J263" i="21"/>
  <c r="H263" i="21"/>
  <c r="E263" i="21"/>
  <c r="F263" i="21"/>
  <c r="D125" i="21"/>
  <c r="G125" i="21"/>
  <c r="E125" i="21"/>
  <c r="J125" i="21"/>
  <c r="F125" i="21"/>
  <c r="H125" i="21"/>
  <c r="D223" i="21"/>
  <c r="G223" i="21"/>
  <c r="J223" i="21"/>
  <c r="H223" i="21"/>
  <c r="F223" i="21"/>
  <c r="E223" i="21"/>
  <c r="D188" i="21"/>
  <c r="H188" i="21"/>
  <c r="E188" i="21"/>
  <c r="J188" i="21"/>
  <c r="F188" i="21"/>
  <c r="G188" i="21"/>
  <c r="D133" i="21"/>
  <c r="F133" i="21"/>
  <c r="J133" i="21"/>
  <c r="H133" i="21"/>
  <c r="G133" i="21"/>
  <c r="E133" i="21"/>
  <c r="D120" i="21"/>
  <c r="G120" i="21"/>
  <c r="E120" i="21"/>
  <c r="F120" i="21"/>
  <c r="H120" i="21"/>
  <c r="J120" i="21"/>
  <c r="D253" i="21"/>
  <c r="F253" i="21"/>
  <c r="E253" i="21"/>
  <c r="G253" i="21"/>
  <c r="J253" i="21"/>
  <c r="H253" i="21"/>
  <c r="D264" i="21"/>
  <c r="E264" i="21"/>
  <c r="H264" i="21"/>
  <c r="G264" i="21"/>
  <c r="J264" i="21"/>
  <c r="F264" i="21"/>
  <c r="D157" i="21"/>
  <c r="H157" i="21"/>
  <c r="G157" i="21"/>
  <c r="J157" i="21"/>
  <c r="E157" i="21"/>
  <c r="F157" i="21"/>
  <c r="D220" i="21"/>
  <c r="H220" i="21"/>
  <c r="J220" i="21"/>
  <c r="E220" i="21"/>
  <c r="G220" i="21"/>
  <c r="F220" i="21"/>
  <c r="D21" i="21"/>
  <c r="G21" i="21"/>
  <c r="E21" i="21"/>
  <c r="J21" i="21"/>
  <c r="H21" i="21"/>
  <c r="F21" i="21"/>
  <c r="D205" i="21"/>
  <c r="J205" i="21"/>
  <c r="F205" i="21"/>
  <c r="E205" i="21"/>
  <c r="H205" i="21"/>
  <c r="G205" i="21"/>
  <c r="D185" i="21"/>
  <c r="G185" i="21"/>
  <c r="F185" i="21"/>
  <c r="E185" i="21"/>
  <c r="H185" i="21"/>
  <c r="J185" i="21"/>
  <c r="D128" i="21"/>
  <c r="H128" i="21"/>
  <c r="J128" i="21"/>
  <c r="F128" i="21"/>
  <c r="G128" i="21"/>
  <c r="E128" i="21"/>
  <c r="D111" i="21"/>
  <c r="G111" i="21"/>
  <c r="F111" i="21"/>
  <c r="E111" i="21"/>
  <c r="J111" i="21"/>
  <c r="H111" i="21"/>
  <c r="J13" i="21"/>
  <c r="D13" i="21"/>
  <c r="F13" i="21"/>
  <c r="E13" i="21"/>
  <c r="C302" i="21"/>
  <c r="G13" i="21"/>
  <c r="H13" i="21"/>
  <c r="D20" i="21"/>
  <c r="E20" i="21"/>
  <c r="J20" i="21"/>
  <c r="H20" i="21"/>
  <c r="F20" i="21"/>
  <c r="G20" i="21"/>
  <c r="D65" i="21"/>
  <c r="H65" i="21"/>
  <c r="J65" i="21"/>
  <c r="E65" i="21"/>
  <c r="F65" i="21"/>
  <c r="G65" i="21"/>
  <c r="D62" i="21"/>
  <c r="F62" i="21"/>
  <c r="E62" i="21"/>
  <c r="G62" i="21"/>
  <c r="J62" i="21"/>
  <c r="H62" i="21"/>
  <c r="D58" i="21"/>
  <c r="J58" i="21"/>
  <c r="F58" i="21"/>
  <c r="E58" i="21"/>
  <c r="H58" i="21"/>
  <c r="G58" i="21"/>
  <c r="D140" i="21"/>
  <c r="E140" i="21"/>
  <c r="H140" i="21"/>
  <c r="F140" i="21"/>
  <c r="G140" i="21"/>
  <c r="J140" i="21"/>
  <c r="D31" i="21"/>
  <c r="G31" i="21"/>
  <c r="H31" i="21"/>
  <c r="J31" i="21"/>
  <c r="E31" i="21"/>
  <c r="F31" i="21"/>
  <c r="D51" i="21"/>
  <c r="G51" i="21"/>
  <c r="H51" i="21"/>
  <c r="F51" i="21"/>
  <c r="J51" i="21"/>
  <c r="E51" i="21"/>
  <c r="D148" i="21"/>
  <c r="G148" i="21"/>
  <c r="J148" i="21"/>
  <c r="E148" i="21"/>
  <c r="H148" i="21"/>
  <c r="F148" i="21"/>
  <c r="D177" i="21"/>
  <c r="F177" i="21"/>
  <c r="J177" i="21"/>
  <c r="G177" i="21"/>
  <c r="H177" i="21"/>
  <c r="E177" i="21"/>
  <c r="D288" i="21"/>
  <c r="E288" i="21"/>
  <c r="F288" i="21"/>
  <c r="H288" i="21"/>
  <c r="G288" i="21"/>
  <c r="J288" i="21"/>
  <c r="D245" i="21"/>
  <c r="E245" i="21"/>
  <c r="J245" i="21"/>
  <c r="F245" i="21"/>
  <c r="H245" i="21"/>
  <c r="G245" i="21"/>
  <c r="D206" i="21"/>
  <c r="F206" i="21"/>
  <c r="H206" i="21"/>
  <c r="E206" i="21"/>
  <c r="J206" i="21"/>
  <c r="G206" i="21"/>
  <c r="D87" i="21"/>
  <c r="E87" i="21"/>
  <c r="F87" i="21"/>
  <c r="H87" i="21"/>
  <c r="J87" i="21"/>
  <c r="G87" i="21"/>
  <c r="D176" i="21"/>
  <c r="G176" i="21"/>
  <c r="J176" i="21"/>
  <c r="H176" i="21"/>
  <c r="E176" i="21"/>
  <c r="F176" i="21"/>
  <c r="D242" i="21"/>
  <c r="G242" i="21"/>
  <c r="E242" i="21"/>
  <c r="F242" i="21"/>
  <c r="J242" i="21"/>
  <c r="H242" i="21"/>
  <c r="D122" i="21"/>
  <c r="F122" i="21"/>
  <c r="G122" i="21"/>
  <c r="J122" i="21"/>
  <c r="E122" i="21"/>
  <c r="H122" i="21"/>
  <c r="D259" i="21"/>
  <c r="J259" i="21"/>
  <c r="G259" i="21"/>
  <c r="E259" i="21"/>
  <c r="F259" i="21"/>
  <c r="H259" i="21"/>
  <c r="D217" i="21"/>
  <c r="H217" i="21"/>
  <c r="G217" i="21"/>
  <c r="J217" i="21"/>
  <c r="F217" i="21"/>
  <c r="E217" i="21"/>
  <c r="D277" i="21"/>
  <c r="E277" i="21"/>
  <c r="G277" i="21"/>
  <c r="J277" i="21"/>
  <c r="H277" i="21"/>
  <c r="F277" i="21"/>
  <c r="D269" i="21"/>
  <c r="G269" i="21"/>
  <c r="E269" i="21"/>
  <c r="J269" i="21"/>
  <c r="H269" i="21"/>
  <c r="F269" i="21"/>
  <c r="D107" i="21"/>
  <c r="H107" i="21"/>
  <c r="E107" i="21"/>
  <c r="G107" i="21"/>
  <c r="F107" i="21"/>
  <c r="J107" i="21"/>
  <c r="D68" i="21"/>
  <c r="H68" i="21"/>
  <c r="J68" i="21"/>
  <c r="G68" i="21"/>
  <c r="E68" i="21"/>
  <c r="F68" i="21"/>
  <c r="D146" i="21"/>
  <c r="H146" i="21"/>
  <c r="J146" i="21"/>
  <c r="E146" i="21"/>
  <c r="F146" i="21"/>
  <c r="G146" i="21"/>
  <c r="D136" i="21"/>
  <c r="H136" i="21"/>
  <c r="E136" i="21"/>
  <c r="G136" i="21"/>
  <c r="F136" i="21"/>
  <c r="J136" i="21"/>
  <c r="D212" i="21"/>
  <c r="E212" i="21"/>
  <c r="J212" i="21"/>
  <c r="G212" i="21"/>
  <c r="F212" i="21"/>
  <c r="H212" i="21"/>
  <c r="D172" i="21"/>
  <c r="F172" i="21"/>
  <c r="J172" i="21"/>
  <c r="G172" i="21"/>
  <c r="H172" i="21"/>
  <c r="E172" i="21"/>
  <c r="D79" i="21"/>
  <c r="E79" i="21"/>
  <c r="G79" i="21"/>
  <c r="H79" i="21"/>
  <c r="J79" i="21"/>
  <c r="F79" i="21"/>
  <c r="D159" i="21"/>
  <c r="J159" i="21"/>
  <c r="G159" i="21"/>
  <c r="F159" i="21"/>
  <c r="H159" i="21"/>
  <c r="E159" i="21"/>
  <c r="D276" i="21"/>
  <c r="E276" i="21"/>
  <c r="F276" i="21"/>
  <c r="G276" i="21"/>
  <c r="H276" i="21"/>
  <c r="J276" i="21"/>
  <c r="D196" i="21"/>
  <c r="H196" i="21"/>
  <c r="E196" i="21"/>
  <c r="F196" i="21"/>
  <c r="J196" i="21"/>
  <c r="G196" i="21"/>
  <c r="D239" i="21"/>
  <c r="H239" i="21"/>
  <c r="G239" i="21"/>
  <c r="J239" i="21"/>
  <c r="E239" i="21"/>
  <c r="F239" i="21"/>
  <c r="D194" i="21"/>
  <c r="E194" i="21"/>
  <c r="F194" i="21"/>
  <c r="G194" i="21"/>
  <c r="J194" i="21"/>
  <c r="H194" i="21"/>
  <c r="D298" i="21"/>
  <c r="J298" i="21"/>
  <c r="E298" i="21"/>
  <c r="H298" i="21"/>
  <c r="G298" i="21"/>
  <c r="F298" i="21"/>
  <c r="D90" i="21"/>
  <c r="G90" i="21"/>
  <c r="J90" i="21"/>
  <c r="H90" i="21"/>
  <c r="F90" i="21"/>
  <c r="E90" i="21"/>
  <c r="D184" i="21"/>
  <c r="J184" i="21"/>
  <c r="F184" i="21"/>
  <c r="E184" i="21"/>
  <c r="H184" i="21"/>
  <c r="G184" i="21"/>
  <c r="D173" i="21"/>
  <c r="G173" i="21"/>
  <c r="E173" i="21"/>
  <c r="J173" i="21"/>
  <c r="F173" i="21"/>
  <c r="H173" i="21"/>
  <c r="D39" i="21"/>
  <c r="G39" i="21"/>
  <c r="J39" i="21"/>
  <c r="E39" i="21"/>
  <c r="H39" i="21"/>
  <c r="F39" i="21"/>
  <c r="D249" i="21"/>
  <c r="E249" i="21"/>
  <c r="G249" i="21"/>
  <c r="J249" i="21"/>
  <c r="H249" i="21"/>
  <c r="F249" i="21"/>
  <c r="C302" i="9"/>
  <c r="D278" i="21"/>
  <c r="G278" i="21"/>
  <c r="H278" i="21"/>
  <c r="J278" i="21"/>
  <c r="E278" i="21"/>
  <c r="F278" i="21"/>
  <c r="D41" i="21"/>
  <c r="G41" i="21"/>
  <c r="F41" i="21"/>
  <c r="E41" i="21"/>
  <c r="H41" i="21"/>
  <c r="J41" i="21"/>
  <c r="D46" i="21"/>
  <c r="F46" i="21"/>
  <c r="G46" i="21"/>
  <c r="E46" i="21"/>
  <c r="H46" i="21"/>
  <c r="J46" i="21"/>
  <c r="D112" i="21"/>
  <c r="J112" i="21"/>
  <c r="E112" i="21"/>
  <c r="G112" i="21"/>
  <c r="F112" i="21"/>
  <c r="H112" i="21"/>
  <c r="D131" i="21"/>
  <c r="E131" i="21"/>
  <c r="G131" i="21"/>
  <c r="F131" i="21"/>
  <c r="J131" i="21"/>
  <c r="H131" i="21"/>
  <c r="D113" i="21"/>
  <c r="G113" i="21"/>
  <c r="E113" i="21"/>
  <c r="J113" i="21"/>
  <c r="H113" i="21"/>
  <c r="F113" i="21"/>
  <c r="D171" i="21"/>
  <c r="G171" i="21"/>
  <c r="E171" i="21"/>
  <c r="F171" i="21"/>
  <c r="H171" i="21"/>
  <c r="J171" i="21"/>
  <c r="D49" i="21"/>
  <c r="F49" i="21"/>
  <c r="J49" i="21"/>
  <c r="H49" i="21"/>
  <c r="G49" i="21"/>
  <c r="E49" i="21"/>
  <c r="D250" i="21"/>
  <c r="E250" i="21"/>
  <c r="S8" i="45" s="1"/>
  <c r="F250" i="21"/>
  <c r="S9" i="45" s="1"/>
  <c r="J250" i="21"/>
  <c r="S13" i="45" s="1"/>
  <c r="G250" i="21"/>
  <c r="S10" i="45" s="1"/>
  <c r="H250" i="21"/>
  <c r="S11" i="45" s="1"/>
  <c r="D280" i="21"/>
  <c r="G280" i="21"/>
  <c r="F280" i="21"/>
  <c r="J280" i="21"/>
  <c r="E280" i="21"/>
  <c r="H280" i="21"/>
  <c r="D224" i="21"/>
  <c r="G224" i="21"/>
  <c r="E224" i="21"/>
  <c r="H224" i="21"/>
  <c r="J224" i="21"/>
  <c r="F224" i="21"/>
  <c r="D96" i="21"/>
  <c r="G96" i="21"/>
  <c r="E96" i="21"/>
  <c r="H96" i="21"/>
  <c r="J96" i="21"/>
  <c r="F96" i="21"/>
  <c r="D134" i="21"/>
  <c r="H134" i="21"/>
  <c r="F134" i="21"/>
  <c r="E134" i="21"/>
  <c r="J134" i="21"/>
  <c r="G134" i="21"/>
  <c r="D97" i="21"/>
  <c r="F97" i="21"/>
  <c r="H97" i="21"/>
  <c r="J97" i="21"/>
  <c r="G97" i="21"/>
  <c r="E97" i="21"/>
  <c r="D222" i="21"/>
  <c r="J222" i="21"/>
  <c r="E222" i="21"/>
  <c r="F222" i="21"/>
  <c r="H222" i="21"/>
  <c r="G222" i="21"/>
  <c r="D36" i="21"/>
  <c r="G36" i="21"/>
  <c r="J36" i="21"/>
  <c r="F36" i="21"/>
  <c r="H36" i="21"/>
  <c r="E36" i="21"/>
  <c r="D234" i="21"/>
  <c r="G234" i="21"/>
  <c r="F234" i="21"/>
  <c r="E234" i="21"/>
  <c r="H234" i="21"/>
  <c r="J234" i="21"/>
  <c r="D67" i="21"/>
  <c r="J67" i="21"/>
  <c r="H67" i="21"/>
  <c r="F67" i="21"/>
  <c r="G67" i="21"/>
  <c r="E67" i="21"/>
  <c r="D60" i="21"/>
  <c r="H60" i="21"/>
  <c r="J60" i="21"/>
  <c r="G60" i="21"/>
  <c r="F60" i="21"/>
  <c r="E60" i="21"/>
  <c r="D26" i="21"/>
  <c r="F26" i="21"/>
  <c r="G26" i="21"/>
  <c r="J26" i="21"/>
  <c r="H26" i="21"/>
  <c r="E26" i="21"/>
  <c r="D118" i="21"/>
  <c r="G118" i="21"/>
  <c r="E118" i="21"/>
  <c r="H118" i="21"/>
  <c r="J118" i="21"/>
  <c r="F118" i="21"/>
  <c r="D143" i="21"/>
  <c r="G143" i="21"/>
  <c r="H143" i="21"/>
  <c r="F143" i="21"/>
  <c r="E143" i="21"/>
  <c r="J143" i="21"/>
  <c r="D104" i="21"/>
  <c r="F104" i="21"/>
  <c r="E104" i="21"/>
  <c r="G104" i="21"/>
  <c r="H104" i="21"/>
  <c r="J104" i="21"/>
  <c r="D272" i="21"/>
  <c r="F272" i="21"/>
  <c r="H272" i="21"/>
  <c r="J272" i="21"/>
  <c r="G272" i="21"/>
  <c r="E272" i="21"/>
  <c r="D142" i="21"/>
  <c r="G142" i="21"/>
  <c r="F142" i="21"/>
  <c r="J142" i="21"/>
  <c r="H142" i="21"/>
  <c r="E142" i="21"/>
  <c r="D147" i="21"/>
  <c r="E147" i="21"/>
  <c r="H147" i="21"/>
  <c r="J147" i="21"/>
  <c r="F147" i="21"/>
  <c r="G147" i="21"/>
  <c r="D83" i="21"/>
  <c r="J83" i="21"/>
  <c r="E83" i="21"/>
  <c r="G83" i="21"/>
  <c r="H83" i="21"/>
  <c r="F83" i="21"/>
  <c r="D291" i="21"/>
  <c r="G291" i="21"/>
  <c r="J291" i="21"/>
  <c r="H291" i="21"/>
  <c r="E291" i="21"/>
  <c r="F291" i="21"/>
  <c r="D156" i="21"/>
  <c r="E156" i="21"/>
  <c r="H156" i="21"/>
  <c r="F156" i="21"/>
  <c r="J156" i="21"/>
  <c r="G156" i="21"/>
  <c r="D126" i="21"/>
  <c r="G126" i="21"/>
  <c r="F126" i="21"/>
  <c r="E126" i="21"/>
  <c r="H126" i="21"/>
  <c r="J126" i="21"/>
  <c r="D154" i="21"/>
  <c r="F154" i="21"/>
  <c r="H154" i="21"/>
  <c r="J154" i="21"/>
  <c r="G154" i="21"/>
  <c r="E154" i="21"/>
  <c r="D233" i="21"/>
  <c r="E233" i="21"/>
  <c r="J233" i="21"/>
  <c r="G233" i="21"/>
  <c r="H233" i="21"/>
  <c r="F233" i="21"/>
  <c r="D287" i="21"/>
  <c r="E287" i="21"/>
  <c r="H287" i="21"/>
  <c r="G287" i="21"/>
  <c r="F287" i="21"/>
  <c r="J287" i="21"/>
  <c r="D207" i="21"/>
  <c r="F207" i="21"/>
  <c r="J207" i="21"/>
  <c r="E207" i="21"/>
  <c r="H207" i="21"/>
  <c r="G207" i="21"/>
  <c r="D199" i="21"/>
  <c r="F199" i="21"/>
  <c r="H199" i="21"/>
  <c r="E199" i="21"/>
  <c r="J199" i="21"/>
  <c r="G199" i="21"/>
  <c r="D130" i="21"/>
  <c r="J130" i="21"/>
  <c r="F130" i="21"/>
  <c r="G130" i="21"/>
  <c r="E130" i="21"/>
  <c r="H130" i="21"/>
  <c r="D255" i="21"/>
  <c r="G255" i="21"/>
  <c r="F255" i="21"/>
  <c r="H255" i="21"/>
  <c r="J255" i="21"/>
  <c r="E255" i="21"/>
  <c r="D151" i="21"/>
  <c r="F151" i="21"/>
  <c r="J151" i="21"/>
  <c r="E151" i="21"/>
  <c r="H151" i="21"/>
  <c r="G151" i="21"/>
  <c r="D247" i="21"/>
  <c r="E247" i="21"/>
  <c r="H247" i="21"/>
  <c r="F247" i="21"/>
  <c r="G247" i="21"/>
  <c r="J247" i="21"/>
  <c r="D89" i="21"/>
  <c r="E89" i="21"/>
  <c r="J89" i="21"/>
  <c r="H89" i="21"/>
  <c r="G89" i="21"/>
  <c r="F89" i="21"/>
  <c r="D225" i="21"/>
  <c r="G225" i="21"/>
  <c r="H225" i="21"/>
  <c r="J225" i="21"/>
  <c r="E225" i="21"/>
  <c r="F225" i="21"/>
  <c r="D257" i="21"/>
  <c r="G257" i="21"/>
  <c r="J257" i="21"/>
  <c r="E257" i="21"/>
  <c r="F257" i="21"/>
  <c r="H257" i="21"/>
  <c r="D175" i="21"/>
  <c r="E175" i="21"/>
  <c r="F175" i="21"/>
  <c r="J175" i="21"/>
  <c r="G175" i="21"/>
  <c r="H175" i="21"/>
  <c r="D180" i="21"/>
  <c r="G180" i="21"/>
  <c r="J180" i="21"/>
  <c r="F180" i="21"/>
  <c r="H180" i="21"/>
  <c r="E180" i="21"/>
  <c r="D279" i="21"/>
  <c r="H279" i="21"/>
  <c r="J279" i="21"/>
  <c r="F279" i="21"/>
  <c r="E279" i="21"/>
  <c r="G279" i="21"/>
  <c r="D32" i="21"/>
  <c r="F32" i="21"/>
  <c r="H32" i="21"/>
  <c r="G32" i="21"/>
  <c r="J32" i="21"/>
  <c r="E32" i="21"/>
  <c r="D179" i="21"/>
  <c r="H179" i="21"/>
  <c r="J179" i="21"/>
  <c r="E179" i="21"/>
  <c r="G179" i="21"/>
  <c r="F179" i="21"/>
  <c r="D165" i="21"/>
  <c r="G165" i="21"/>
  <c r="F165" i="21"/>
  <c r="H165" i="21"/>
  <c r="J165" i="21"/>
  <c r="E165" i="21"/>
  <c r="D240" i="21"/>
  <c r="E240" i="21"/>
  <c r="F240" i="21"/>
  <c r="J240" i="21"/>
  <c r="H240" i="21"/>
  <c r="G240" i="21"/>
  <c r="D38" i="21"/>
  <c r="J38" i="21"/>
  <c r="E38" i="21"/>
  <c r="H38" i="21"/>
  <c r="F38" i="21"/>
  <c r="G38" i="21"/>
  <c r="D30" i="21"/>
  <c r="J30" i="21"/>
  <c r="F30" i="21"/>
  <c r="G30" i="21"/>
  <c r="H30" i="21"/>
  <c r="E30" i="21"/>
  <c r="D102" i="21"/>
  <c r="J102" i="21"/>
  <c r="E102" i="21"/>
  <c r="H102" i="21"/>
  <c r="G102" i="21"/>
  <c r="F102" i="21"/>
  <c r="D221" i="21"/>
  <c r="G221" i="21"/>
  <c r="H221" i="21"/>
  <c r="J221" i="21"/>
  <c r="F221" i="21"/>
  <c r="E221" i="21"/>
  <c r="D182" i="21"/>
  <c r="J182" i="21"/>
  <c r="F182" i="21"/>
  <c r="G182" i="21"/>
  <c r="H182" i="21"/>
  <c r="E182" i="21"/>
  <c r="D75" i="21"/>
  <c r="J75" i="21"/>
  <c r="G75" i="21"/>
  <c r="F75" i="21"/>
  <c r="H75" i="21"/>
  <c r="E75" i="21"/>
  <c r="D25" i="21"/>
  <c r="E25" i="21"/>
  <c r="J25" i="21"/>
  <c r="H25" i="21"/>
  <c r="G25" i="21"/>
  <c r="F25" i="21"/>
  <c r="D99" i="21"/>
  <c r="G99" i="21"/>
  <c r="J99" i="21"/>
  <c r="F99" i="21"/>
  <c r="E99" i="21"/>
  <c r="H99" i="21"/>
  <c r="D81" i="21"/>
  <c r="H81" i="21"/>
  <c r="J81" i="21"/>
  <c r="E81" i="21"/>
  <c r="F81" i="21"/>
  <c r="G81" i="21"/>
  <c r="D203" i="21"/>
  <c r="J203" i="21"/>
  <c r="H203" i="21"/>
  <c r="F203" i="21"/>
  <c r="G203" i="21"/>
  <c r="E203" i="21"/>
  <c r="D78" i="21"/>
  <c r="G78" i="21"/>
  <c r="E78" i="21"/>
  <c r="F78" i="21"/>
  <c r="J78" i="21"/>
  <c r="H78" i="21"/>
  <c r="D210" i="21"/>
  <c r="E210" i="21"/>
  <c r="H210" i="21"/>
  <c r="J210" i="21"/>
  <c r="G210" i="21"/>
  <c r="F210" i="21"/>
  <c r="D163" i="21"/>
  <c r="E163" i="21"/>
  <c r="G163" i="21"/>
  <c r="F163" i="21"/>
  <c r="J163" i="21"/>
  <c r="H163" i="21"/>
  <c r="D84" i="21"/>
  <c r="G84" i="21"/>
  <c r="H84" i="21"/>
  <c r="J84" i="21"/>
  <c r="E84" i="21"/>
  <c r="F84" i="21"/>
  <c r="D74" i="21"/>
  <c r="G74" i="21"/>
  <c r="F74" i="21"/>
  <c r="E74" i="21"/>
  <c r="H74" i="21"/>
  <c r="J74" i="21"/>
  <c r="D170" i="21"/>
  <c r="E170" i="21"/>
  <c r="J170" i="21"/>
  <c r="F170" i="21"/>
  <c r="H170" i="21"/>
  <c r="G170" i="21"/>
  <c r="D190" i="21"/>
  <c r="H190" i="21"/>
  <c r="J190" i="21"/>
  <c r="G190" i="21"/>
  <c r="E190" i="21"/>
  <c r="F190" i="21"/>
  <c r="D254" i="21"/>
  <c r="H254" i="21"/>
  <c r="G254" i="21"/>
  <c r="E254" i="21"/>
  <c r="J254" i="21"/>
  <c r="F254" i="21"/>
  <c r="D273" i="21"/>
  <c r="H273" i="21"/>
  <c r="G273" i="21"/>
  <c r="E273" i="21"/>
  <c r="F273" i="21"/>
  <c r="J273" i="21"/>
  <c r="D215" i="21"/>
  <c r="G215" i="21"/>
  <c r="F215" i="21"/>
  <c r="J215" i="21"/>
  <c r="H215" i="21"/>
  <c r="E215" i="21"/>
  <c r="D93" i="21"/>
  <c r="F93" i="21"/>
  <c r="G93" i="21"/>
  <c r="E93" i="21"/>
  <c r="H93" i="21"/>
  <c r="J93" i="21"/>
  <c r="D144" i="21"/>
  <c r="J144" i="21"/>
  <c r="E144" i="21"/>
  <c r="H144" i="21"/>
  <c r="G144" i="21"/>
  <c r="F144" i="21"/>
  <c r="D88" i="21"/>
  <c r="E88" i="21"/>
  <c r="H88" i="21"/>
  <c r="J88" i="21"/>
  <c r="G88" i="21"/>
  <c r="F88" i="21"/>
  <c r="D252" i="21"/>
  <c r="F252" i="21"/>
  <c r="E252" i="21"/>
  <c r="H252" i="21"/>
  <c r="G252" i="21"/>
  <c r="J252" i="21"/>
  <c r="D198" i="21"/>
  <c r="E198" i="21"/>
  <c r="H198" i="21"/>
  <c r="J198" i="21"/>
  <c r="F198" i="21"/>
  <c r="G198" i="21"/>
  <c r="D82" i="21"/>
  <c r="H82" i="21"/>
  <c r="J82" i="21"/>
  <c r="G82" i="21"/>
  <c r="E82" i="21"/>
  <c r="F82" i="21"/>
  <c r="D191" i="21"/>
  <c r="H191" i="21"/>
  <c r="G191" i="21"/>
  <c r="F191" i="21"/>
  <c r="E191" i="21"/>
  <c r="J191" i="21"/>
  <c r="D101" i="21"/>
  <c r="G101" i="21"/>
  <c r="H101" i="21"/>
  <c r="J101" i="21"/>
  <c r="E101" i="21"/>
  <c r="F101" i="21"/>
  <c r="D166" i="21"/>
  <c r="E166" i="21"/>
  <c r="J166" i="21"/>
  <c r="G166" i="21"/>
  <c r="F166" i="21"/>
  <c r="H166" i="21"/>
  <c r="D161" i="21"/>
  <c r="F161" i="21"/>
  <c r="J161" i="21"/>
  <c r="H161" i="21"/>
  <c r="G161" i="21"/>
  <c r="E161" i="21"/>
  <c r="D160" i="21"/>
  <c r="E160" i="21"/>
  <c r="F160" i="21"/>
  <c r="H160" i="21"/>
  <c r="G160" i="21"/>
  <c r="J160" i="21"/>
  <c r="D109" i="21"/>
  <c r="G109" i="21"/>
  <c r="E109" i="21"/>
  <c r="F109" i="21"/>
  <c r="H109" i="21"/>
  <c r="J109" i="21"/>
  <c r="D241" i="21"/>
  <c r="E241" i="21"/>
  <c r="F241" i="21"/>
  <c r="G241" i="21"/>
  <c r="H241" i="21"/>
  <c r="J241" i="21"/>
  <c r="L71" i="21" l="1"/>
  <c r="L241" i="21"/>
  <c r="L166" i="21"/>
  <c r="L198" i="21"/>
  <c r="L93" i="21"/>
  <c r="L230" i="21"/>
  <c r="L211" i="21"/>
  <c r="L127" i="21"/>
  <c r="L265" i="21"/>
  <c r="L18" i="21"/>
  <c r="L76" i="21"/>
  <c r="L113" i="21"/>
  <c r="L41" i="21"/>
  <c r="L264" i="21"/>
  <c r="L247" i="21"/>
  <c r="L233" i="21"/>
  <c r="L291" i="21"/>
  <c r="L272" i="21"/>
  <c r="L26" i="21"/>
  <c r="L155" i="21"/>
  <c r="L200" i="21"/>
  <c r="L160" i="21"/>
  <c r="L191" i="21"/>
  <c r="L88" i="21"/>
  <c r="L188" i="21"/>
  <c r="L268" i="21"/>
  <c r="L100" i="21"/>
  <c r="L66" i="21"/>
  <c r="L15" i="21"/>
  <c r="L86" i="21"/>
  <c r="L214" i="21"/>
  <c r="L52" i="21"/>
  <c r="L182" i="21"/>
  <c r="L175" i="21"/>
  <c r="L36" i="21"/>
  <c r="L96" i="21"/>
  <c r="L128" i="21"/>
  <c r="L220" i="21"/>
  <c r="L120" i="21"/>
  <c r="L125" i="21"/>
  <c r="L105" i="21"/>
  <c r="L150" i="21"/>
  <c r="L81" i="21"/>
  <c r="L179" i="21"/>
  <c r="L163" i="21"/>
  <c r="L190" i="21"/>
  <c r="L38" i="21"/>
  <c r="L33" i="21"/>
  <c r="L228" i="21"/>
  <c r="L193" i="21"/>
  <c r="L267" i="21"/>
  <c r="L80" i="21"/>
  <c r="L238" i="21"/>
  <c r="L53" i="21"/>
  <c r="L85" i="21"/>
  <c r="L284" i="21"/>
  <c r="L260" i="21"/>
  <c r="L215" i="21"/>
  <c r="L221" i="21"/>
  <c r="L83" i="21"/>
  <c r="L104" i="21"/>
  <c r="L60" i="21"/>
  <c r="L222" i="21"/>
  <c r="L224" i="21"/>
  <c r="L285" i="21"/>
  <c r="L109" i="21"/>
  <c r="L252" i="21"/>
  <c r="L170" i="21"/>
  <c r="L49" i="21"/>
  <c r="L112" i="21"/>
  <c r="L256" i="21"/>
  <c r="L283" i="21"/>
  <c r="L197" i="21"/>
  <c r="L29" i="21"/>
  <c r="L293" i="21"/>
  <c r="L244" i="21"/>
  <c r="L167" i="21"/>
  <c r="L141" i="21"/>
  <c r="L168" i="21"/>
  <c r="L121" i="21"/>
  <c r="L14" i="21"/>
  <c r="L153" i="21"/>
  <c r="L106" i="21"/>
  <c r="L248" i="21"/>
  <c r="L249" i="21"/>
  <c r="L90" i="21"/>
  <c r="L196" i="21"/>
  <c r="L172" i="21"/>
  <c r="L146" i="21"/>
  <c r="L277" i="21"/>
  <c r="L242" i="21"/>
  <c r="L245" i="21"/>
  <c r="L51" i="21"/>
  <c r="L62" i="21"/>
  <c r="L216" i="21"/>
  <c r="L262" i="21"/>
  <c r="L98" i="21"/>
  <c r="L72" i="21"/>
  <c r="L47" i="21"/>
  <c r="L186" i="21"/>
  <c r="L275" i="21"/>
  <c r="L82" i="21"/>
  <c r="L84" i="21"/>
  <c r="L75" i="21"/>
  <c r="L30" i="21"/>
  <c r="L89" i="21"/>
  <c r="L287" i="21"/>
  <c r="L142" i="21"/>
  <c r="L118" i="21"/>
  <c r="L234" i="21"/>
  <c r="L134" i="21"/>
  <c r="S7" i="45"/>
  <c r="U7" i="45" s="1"/>
  <c r="L250" i="21"/>
  <c r="L131" i="21"/>
  <c r="L278" i="21"/>
  <c r="L111" i="21"/>
  <c r="L21" i="21"/>
  <c r="L253" i="21"/>
  <c r="L223" i="21"/>
  <c r="L229" i="21"/>
  <c r="L35" i="21"/>
  <c r="L243" i="21"/>
  <c r="L296" i="21"/>
  <c r="L129" i="21"/>
  <c r="L22" i="21"/>
  <c r="L114" i="21"/>
  <c r="L37" i="21"/>
  <c r="L189" i="21"/>
  <c r="L169" i="21"/>
  <c r="L108" i="21"/>
  <c r="L123" i="21"/>
  <c r="L158" i="21"/>
  <c r="L174" i="21"/>
  <c r="L69" i="21"/>
  <c r="L297" i="21"/>
  <c r="L50" i="21"/>
  <c r="L270" i="21"/>
  <c r="L95" i="21"/>
  <c r="L209" i="21"/>
  <c r="L103" i="21"/>
  <c r="L16" i="21"/>
  <c r="L64" i="21"/>
  <c r="L42" i="21"/>
  <c r="L226" i="21"/>
  <c r="L208" i="21"/>
  <c r="L232" i="21"/>
  <c r="L161" i="21"/>
  <c r="L144" i="21"/>
  <c r="L254" i="21"/>
  <c r="L203" i="21"/>
  <c r="L165" i="21"/>
  <c r="L180" i="21"/>
  <c r="L130" i="21"/>
  <c r="L156" i="21"/>
  <c r="L184" i="21"/>
  <c r="L239" i="21"/>
  <c r="L79" i="21"/>
  <c r="L136" i="21"/>
  <c r="L269" i="21"/>
  <c r="L122" i="21"/>
  <c r="L206" i="21"/>
  <c r="L148" i="21"/>
  <c r="L58" i="21"/>
  <c r="L13" i="21"/>
  <c r="L213" i="21"/>
  <c r="L271" i="21"/>
  <c r="L164" i="21"/>
  <c r="L251" i="21"/>
  <c r="L48" i="21"/>
  <c r="L258" i="21"/>
  <c r="L63" i="21"/>
  <c r="L92" i="21"/>
  <c r="L145" i="21"/>
  <c r="L192" i="21"/>
  <c r="L273" i="21"/>
  <c r="L78" i="21"/>
  <c r="L102" i="21"/>
  <c r="L240" i="21"/>
  <c r="L225" i="21"/>
  <c r="L207" i="21"/>
  <c r="L126" i="21"/>
  <c r="L147" i="21"/>
  <c r="L143" i="21"/>
  <c r="L67" i="21"/>
  <c r="L97" i="21"/>
  <c r="L280" i="21"/>
  <c r="L205" i="21"/>
  <c r="L195" i="21"/>
  <c r="L183" i="21"/>
  <c r="L149" i="21"/>
  <c r="L204" i="21"/>
  <c r="L132" i="21"/>
  <c r="L246" i="21"/>
  <c r="L202" i="21"/>
  <c r="L235" i="21"/>
  <c r="L24" i="21"/>
  <c r="L187" i="21"/>
  <c r="L74" i="21"/>
  <c r="L25" i="21"/>
  <c r="L279" i="21"/>
  <c r="L255" i="21"/>
  <c r="L173" i="21"/>
  <c r="L194" i="21"/>
  <c r="L159" i="21"/>
  <c r="L107" i="21"/>
  <c r="L259" i="21"/>
  <c r="L87" i="21"/>
  <c r="L177" i="21"/>
  <c r="L140" i="21"/>
  <c r="L20" i="21"/>
  <c r="L91" i="21"/>
  <c r="L237" i="21"/>
  <c r="L201" i="21"/>
  <c r="L295" i="21"/>
  <c r="L116" i="21"/>
  <c r="L289" i="21"/>
  <c r="L181" i="21"/>
  <c r="L139" i="21"/>
  <c r="L219" i="21"/>
  <c r="L178" i="21"/>
  <c r="L110" i="21"/>
  <c r="L115" i="21"/>
  <c r="L101" i="21"/>
  <c r="L210" i="21"/>
  <c r="L32" i="21"/>
  <c r="L151" i="21"/>
  <c r="L154" i="21"/>
  <c r="L171" i="21"/>
  <c r="L46" i="21"/>
  <c r="L185" i="21"/>
  <c r="L157" i="21"/>
  <c r="L133" i="21"/>
  <c r="L263" i="21"/>
  <c r="L218" i="21"/>
  <c r="L119" i="21"/>
  <c r="L162" i="21"/>
  <c r="L301" i="21"/>
  <c r="L56" i="21"/>
  <c r="L294" i="21"/>
  <c r="L94" i="21"/>
  <c r="L117" i="21"/>
  <c r="L236" i="21"/>
  <c r="L266" i="21"/>
  <c r="L44" i="21"/>
  <c r="L286" i="21"/>
  <c r="L40" i="21"/>
  <c r="L57" i="21"/>
  <c r="L73" i="21"/>
  <c r="L77" i="21"/>
  <c r="L231" i="21"/>
  <c r="L282" i="21"/>
  <c r="L34" i="21"/>
  <c r="L152" i="21"/>
  <c r="L227" i="21"/>
  <c r="L19" i="21"/>
  <c r="L261" i="21"/>
  <c r="L299" i="21"/>
  <c r="L23" i="21"/>
  <c r="L292" i="21"/>
  <c r="L99" i="21"/>
  <c r="L257" i="21"/>
  <c r="L199" i="21"/>
  <c r="L39" i="21"/>
  <c r="L298" i="21"/>
  <c r="L276" i="21"/>
  <c r="L212" i="21"/>
  <c r="L68" i="21"/>
  <c r="L217" i="21"/>
  <c r="L176" i="21"/>
  <c r="L288" i="21"/>
  <c r="L31" i="21"/>
  <c r="L65" i="21"/>
  <c r="L281" i="21"/>
  <c r="L290" i="21"/>
  <c r="L300" i="21"/>
  <c r="L135" i="21"/>
  <c r="L274" i="21"/>
  <c r="L138" i="21"/>
  <c r="L28" i="21"/>
  <c r="L124" i="21"/>
  <c r="L55" i="21"/>
  <c r="L27" i="21"/>
  <c r="T9" i="21"/>
  <c r="U9" i="21" s="1"/>
  <c r="L9" i="55" s="1"/>
  <c r="T71" i="21"/>
  <c r="U71" i="21" s="1"/>
  <c r="L71" i="55" s="1"/>
  <c r="T135" i="21"/>
  <c r="U135" i="21" s="1"/>
  <c r="L135" i="55" s="1"/>
  <c r="T198" i="21"/>
  <c r="U198" i="21" s="1"/>
  <c r="L198" i="55" s="1"/>
  <c r="T262" i="21"/>
  <c r="U262" i="21" s="1"/>
  <c r="L262" i="55" s="1"/>
  <c r="T18" i="21"/>
  <c r="U18" i="21" s="1"/>
  <c r="L18" i="55" s="1"/>
  <c r="T80" i="21"/>
  <c r="U80" i="21" s="1"/>
  <c r="L80" i="55" s="1"/>
  <c r="T144" i="21"/>
  <c r="U144" i="21" s="1"/>
  <c r="L144" i="55" s="1"/>
  <c r="T207" i="21"/>
  <c r="U207" i="21" s="1"/>
  <c r="L207" i="55" s="1"/>
  <c r="T269" i="21"/>
  <c r="U269" i="21" s="1"/>
  <c r="L269" i="55" s="1"/>
  <c r="T27" i="21"/>
  <c r="U27" i="21" s="1"/>
  <c r="L27" i="55" s="1"/>
  <c r="T89" i="21"/>
  <c r="U89" i="21" s="1"/>
  <c r="L89" i="55" s="1"/>
  <c r="T153" i="21"/>
  <c r="U153" i="21" s="1"/>
  <c r="L153" i="55" s="1"/>
  <c r="T216" i="21"/>
  <c r="U216" i="21" s="1"/>
  <c r="L216" i="55" s="1"/>
  <c r="T278" i="21"/>
  <c r="U278" i="21" s="1"/>
  <c r="L278" i="55" s="1"/>
  <c r="T98" i="21"/>
  <c r="U98" i="21" s="1"/>
  <c r="L98" i="55" s="1"/>
  <c r="T161" i="21"/>
  <c r="U161" i="21" s="1"/>
  <c r="L161" i="55" s="1"/>
  <c r="T225" i="21"/>
  <c r="U225" i="21" s="1"/>
  <c r="L225" i="55" s="1"/>
  <c r="T287" i="21"/>
  <c r="U287" i="21" s="1"/>
  <c r="L287" i="55" s="1"/>
  <c r="T43" i="21"/>
  <c r="U43" i="21" s="1"/>
  <c r="L43" i="55" s="1"/>
  <c r="T107" i="21"/>
  <c r="U107" i="21" s="1"/>
  <c r="L107" i="55" s="1"/>
  <c r="T170" i="21"/>
  <c r="U170" i="21" s="1"/>
  <c r="L170" i="55" s="1"/>
  <c r="T234" i="21"/>
  <c r="U234" i="21" s="1"/>
  <c r="L234" i="55" s="1"/>
  <c r="T295" i="21"/>
  <c r="U295" i="21" s="1"/>
  <c r="L295" i="55" s="1"/>
  <c r="T22" i="21"/>
  <c r="U22" i="21" s="1"/>
  <c r="L22" i="55" s="1"/>
  <c r="T84" i="21"/>
  <c r="U84" i="21" s="1"/>
  <c r="L84" i="55" s="1"/>
  <c r="T148" i="21"/>
  <c r="U148" i="21" s="1"/>
  <c r="L148" i="55" s="1"/>
  <c r="T211" i="21"/>
  <c r="U211" i="21" s="1"/>
  <c r="L211" i="55" s="1"/>
  <c r="T273" i="21"/>
  <c r="U273" i="21" s="1"/>
  <c r="L273" i="55" s="1"/>
  <c r="T110" i="21"/>
  <c r="U110" i="21" s="1"/>
  <c r="L110" i="55" s="1"/>
  <c r="T37" i="21"/>
  <c r="U37" i="21" s="1"/>
  <c r="L37" i="55" s="1"/>
  <c r="T101" i="21"/>
  <c r="U101" i="21" s="1"/>
  <c r="L101" i="55" s="1"/>
  <c r="T164" i="21"/>
  <c r="U164" i="21" s="1"/>
  <c r="L164" i="55" s="1"/>
  <c r="T228" i="21"/>
  <c r="U228" i="21" s="1"/>
  <c r="L228" i="55" s="1"/>
  <c r="T290" i="21"/>
  <c r="U290" i="21" s="1"/>
  <c r="L290" i="55" s="1"/>
  <c r="T181" i="21"/>
  <c r="U181" i="21" s="1"/>
  <c r="L181" i="55" s="1"/>
  <c r="T229" i="21"/>
  <c r="U229" i="21" s="1"/>
  <c r="L229" i="55" s="1"/>
  <c r="T119" i="21"/>
  <c r="U119" i="21" s="1"/>
  <c r="L119" i="55" s="1"/>
  <c r="T200" i="21"/>
  <c r="U200" i="21" s="1"/>
  <c r="L200" i="55" s="1"/>
  <c r="T209" i="21"/>
  <c r="U209" i="21" s="1"/>
  <c r="L209" i="55" s="1"/>
  <c r="T150" i="21"/>
  <c r="U150" i="21" s="1"/>
  <c r="L150" i="55" s="1"/>
  <c r="T86" i="21"/>
  <c r="U86" i="21" s="1"/>
  <c r="L86" i="55" s="1"/>
  <c r="T205" i="21"/>
  <c r="U205" i="21" s="1"/>
  <c r="L205" i="55" s="1"/>
  <c r="T190" i="21"/>
  <c r="U190" i="21" s="1"/>
  <c r="L190" i="55" s="1"/>
  <c r="T136" i="21"/>
  <c r="U136" i="21" s="1"/>
  <c r="L136" i="55" s="1"/>
  <c r="T19" i="21"/>
  <c r="U19" i="21" s="1"/>
  <c r="L19" i="55" s="1"/>
  <c r="T145" i="21"/>
  <c r="U145" i="21" s="1"/>
  <c r="L145" i="55" s="1"/>
  <c r="T90" i="21"/>
  <c r="U90" i="21" s="1"/>
  <c r="L90" i="55" s="1"/>
  <c r="T279" i="21"/>
  <c r="U279" i="21" s="1"/>
  <c r="L279" i="55" s="1"/>
  <c r="T226" i="21"/>
  <c r="U226" i="21" s="1"/>
  <c r="L226" i="55" s="1"/>
  <c r="T140" i="21"/>
  <c r="U140" i="21" s="1"/>
  <c r="L140" i="55" s="1"/>
  <c r="T31" i="21"/>
  <c r="U31" i="21" s="1"/>
  <c r="L31" i="55" s="1"/>
  <c r="T283" i="21"/>
  <c r="U283" i="21" s="1"/>
  <c r="L283" i="55" s="1"/>
  <c r="T17" i="21"/>
  <c r="U17" i="21" s="1"/>
  <c r="L17" i="55" s="1"/>
  <c r="T79" i="21"/>
  <c r="U79" i="21" s="1"/>
  <c r="L79" i="55" s="1"/>
  <c r="T143" i="21"/>
  <c r="U143" i="21" s="1"/>
  <c r="L143" i="55" s="1"/>
  <c r="T206" i="21"/>
  <c r="U206" i="21" s="1"/>
  <c r="L206" i="55" s="1"/>
  <c r="T268" i="21"/>
  <c r="U268" i="21" s="1"/>
  <c r="L268" i="55" s="1"/>
  <c r="T26" i="21"/>
  <c r="U26" i="21" s="1"/>
  <c r="L26" i="55" s="1"/>
  <c r="T88" i="21"/>
  <c r="U88" i="21" s="1"/>
  <c r="L88" i="55" s="1"/>
  <c r="T152" i="21"/>
  <c r="U152" i="21" s="1"/>
  <c r="L152" i="55" s="1"/>
  <c r="T215" i="21"/>
  <c r="U215" i="21" s="1"/>
  <c r="L215" i="55" s="1"/>
  <c r="T277" i="21"/>
  <c r="U277" i="21" s="1"/>
  <c r="L277" i="55" s="1"/>
  <c r="T97" i="21"/>
  <c r="U97" i="21" s="1"/>
  <c r="L97" i="55" s="1"/>
  <c r="T160" i="21"/>
  <c r="U160" i="21" s="1"/>
  <c r="L160" i="55" s="1"/>
  <c r="T224" i="21"/>
  <c r="U224" i="21" s="1"/>
  <c r="L224" i="55" s="1"/>
  <c r="T286" i="21"/>
  <c r="U286" i="21" s="1"/>
  <c r="L286" i="55" s="1"/>
  <c r="T42" i="21"/>
  <c r="U42" i="21" s="1"/>
  <c r="L42" i="55" s="1"/>
  <c r="T106" i="21"/>
  <c r="U106" i="21" s="1"/>
  <c r="L106" i="55" s="1"/>
  <c r="T169" i="21"/>
  <c r="U169" i="21" s="1"/>
  <c r="L169" i="55" s="1"/>
  <c r="T233" i="21"/>
  <c r="U233" i="21" s="1"/>
  <c r="L233" i="55" s="1"/>
  <c r="T294" i="21"/>
  <c r="U294" i="21" s="1"/>
  <c r="L294" i="55" s="1"/>
  <c r="T51" i="21"/>
  <c r="U51" i="21" s="1"/>
  <c r="L51" i="55" s="1"/>
  <c r="T115" i="21"/>
  <c r="U115" i="21" s="1"/>
  <c r="L115" i="55" s="1"/>
  <c r="T178" i="21"/>
  <c r="U178" i="21" s="1"/>
  <c r="L178" i="55" s="1"/>
  <c r="T242" i="21"/>
  <c r="U242" i="21" s="1"/>
  <c r="L242" i="55" s="1"/>
  <c r="T32" i="21"/>
  <c r="U32" i="21" s="1"/>
  <c r="L32" i="55" s="1"/>
  <c r="T30" i="21"/>
  <c r="U30" i="21" s="1"/>
  <c r="L30" i="55" s="1"/>
  <c r="T92" i="21"/>
  <c r="U92" i="21" s="1"/>
  <c r="L92" i="55" s="1"/>
  <c r="T156" i="21"/>
  <c r="U156" i="21" s="1"/>
  <c r="L156" i="55" s="1"/>
  <c r="T219" i="21"/>
  <c r="U219" i="21" s="1"/>
  <c r="L219" i="55" s="1"/>
  <c r="T281" i="21"/>
  <c r="U281" i="21" s="1"/>
  <c r="L281" i="55" s="1"/>
  <c r="T126" i="21"/>
  <c r="U126" i="21" s="1"/>
  <c r="L126" i="55" s="1"/>
  <c r="T45" i="21"/>
  <c r="U45" i="21" s="1"/>
  <c r="L45" i="55" s="1"/>
  <c r="T109" i="21"/>
  <c r="U109" i="21" s="1"/>
  <c r="L109" i="55" s="1"/>
  <c r="T172" i="21"/>
  <c r="U172" i="21" s="1"/>
  <c r="L172" i="55" s="1"/>
  <c r="T236" i="21"/>
  <c r="U236" i="21" s="1"/>
  <c r="L236" i="55" s="1"/>
  <c r="T297" i="21"/>
  <c r="U297" i="21" s="1"/>
  <c r="L297" i="55" s="1"/>
  <c r="T245" i="21"/>
  <c r="U245" i="21" s="1"/>
  <c r="L245" i="55" s="1"/>
  <c r="T197" i="21"/>
  <c r="U197" i="21" s="1"/>
  <c r="L197" i="55" s="1"/>
  <c r="T246" i="21"/>
  <c r="U246" i="21" s="1"/>
  <c r="L246" i="55" s="1"/>
  <c r="T128" i="21"/>
  <c r="U128" i="21" s="1"/>
  <c r="L128" i="55" s="1"/>
  <c r="T255" i="21"/>
  <c r="U255" i="21" s="1"/>
  <c r="L255" i="55" s="1"/>
  <c r="T73" i="21"/>
  <c r="U73" i="21" s="1"/>
  <c r="L73" i="55" s="1"/>
  <c r="T20" i="21"/>
  <c r="U20" i="21" s="1"/>
  <c r="L20" i="55" s="1"/>
  <c r="T146" i="21"/>
  <c r="U146" i="21" s="1"/>
  <c r="L146" i="55" s="1"/>
  <c r="T218" i="21"/>
  <c r="U218" i="21" s="1"/>
  <c r="L218" i="55" s="1"/>
  <c r="T132" i="21"/>
  <c r="U132" i="21" s="1"/>
  <c r="L132" i="55" s="1"/>
  <c r="T259" i="21"/>
  <c r="U259" i="21" s="1"/>
  <c r="L259" i="55" s="1"/>
  <c r="T274" i="21"/>
  <c r="U274" i="21" s="1"/>
  <c r="L274" i="55" s="1"/>
  <c r="T72" i="21"/>
  <c r="U72" i="21" s="1"/>
  <c r="L72" i="55" s="1"/>
  <c r="T76" i="21"/>
  <c r="U76" i="21" s="1"/>
  <c r="L76" i="55" s="1"/>
  <c r="T282" i="21"/>
  <c r="U282" i="21" s="1"/>
  <c r="L282" i="55" s="1"/>
  <c r="T25" i="21"/>
  <c r="U25" i="21" s="1"/>
  <c r="L25" i="55" s="1"/>
  <c r="T87" i="21"/>
  <c r="U87" i="21" s="1"/>
  <c r="L87" i="55" s="1"/>
  <c r="T151" i="21"/>
  <c r="U151" i="21" s="1"/>
  <c r="L151" i="55" s="1"/>
  <c r="T214" i="21"/>
  <c r="U214" i="21" s="1"/>
  <c r="L214" i="55" s="1"/>
  <c r="T276" i="21"/>
  <c r="U276" i="21" s="1"/>
  <c r="L276" i="55" s="1"/>
  <c r="T34" i="21"/>
  <c r="U34" i="21" s="1"/>
  <c r="L34" i="55" s="1"/>
  <c r="T96" i="21"/>
  <c r="U96" i="21" s="1"/>
  <c r="L96" i="55" s="1"/>
  <c r="T159" i="21"/>
  <c r="U159" i="21" s="1"/>
  <c r="L159" i="55" s="1"/>
  <c r="T223" i="21"/>
  <c r="U223" i="21" s="1"/>
  <c r="L223" i="55" s="1"/>
  <c r="T285" i="21"/>
  <c r="U285" i="21" s="1"/>
  <c r="L285" i="55" s="1"/>
  <c r="T41" i="21"/>
  <c r="U41" i="21" s="1"/>
  <c r="L41" i="55" s="1"/>
  <c r="T105" i="21"/>
  <c r="U105" i="21" s="1"/>
  <c r="L105" i="55" s="1"/>
  <c r="T168" i="21"/>
  <c r="U168" i="21" s="1"/>
  <c r="L168" i="55" s="1"/>
  <c r="T232" i="21"/>
  <c r="U232" i="21" s="1"/>
  <c r="L232" i="55" s="1"/>
  <c r="T50" i="21"/>
  <c r="U50" i="21" s="1"/>
  <c r="L50" i="55" s="1"/>
  <c r="T114" i="21"/>
  <c r="U114" i="21" s="1"/>
  <c r="L114" i="55" s="1"/>
  <c r="T177" i="21"/>
  <c r="U177" i="21" s="1"/>
  <c r="L177" i="55" s="1"/>
  <c r="T241" i="21"/>
  <c r="U241" i="21" s="1"/>
  <c r="L241" i="55" s="1"/>
  <c r="T8" i="21"/>
  <c r="T59" i="21"/>
  <c r="U59" i="21" s="1"/>
  <c r="L59" i="55" s="1"/>
  <c r="T123" i="21"/>
  <c r="U123" i="21" s="1"/>
  <c r="L123" i="55" s="1"/>
  <c r="T186" i="21"/>
  <c r="U186" i="21" s="1"/>
  <c r="L186" i="55" s="1"/>
  <c r="T250" i="21"/>
  <c r="U250" i="21" s="1"/>
  <c r="L250" i="55" s="1"/>
  <c r="T78" i="21"/>
  <c r="U78" i="21" s="1"/>
  <c r="L78" i="55" s="1"/>
  <c r="T36" i="21"/>
  <c r="U36" i="21" s="1"/>
  <c r="L36" i="55" s="1"/>
  <c r="T100" i="21"/>
  <c r="U100" i="21" s="1"/>
  <c r="L100" i="55" s="1"/>
  <c r="T163" i="21"/>
  <c r="U163" i="21" s="1"/>
  <c r="L163" i="55" s="1"/>
  <c r="T227" i="21"/>
  <c r="U227" i="21" s="1"/>
  <c r="L227" i="55" s="1"/>
  <c r="T289" i="21"/>
  <c r="U289" i="21" s="1"/>
  <c r="L289" i="55" s="1"/>
  <c r="T142" i="21"/>
  <c r="U142" i="21" s="1"/>
  <c r="L142" i="55" s="1"/>
  <c r="T53" i="21"/>
  <c r="U53" i="21" s="1"/>
  <c r="L53" i="55" s="1"/>
  <c r="T117" i="21"/>
  <c r="U117" i="21" s="1"/>
  <c r="L117" i="55" s="1"/>
  <c r="T180" i="21"/>
  <c r="U180" i="21" s="1"/>
  <c r="L180" i="55" s="1"/>
  <c r="T244" i="21"/>
  <c r="U244" i="21" s="1"/>
  <c r="L244" i="55" s="1"/>
  <c r="T46" i="21"/>
  <c r="U46" i="21" s="1"/>
  <c r="L46" i="55" s="1"/>
  <c r="T221" i="21"/>
  <c r="U221" i="21" s="1"/>
  <c r="L221" i="55" s="1"/>
  <c r="T261" i="21"/>
  <c r="U261" i="21" s="1"/>
  <c r="L261" i="55" s="1"/>
  <c r="T38" i="21"/>
  <c r="U38" i="21" s="1"/>
  <c r="L38" i="55" s="1"/>
  <c r="T29" i="21"/>
  <c r="U29" i="21" s="1"/>
  <c r="L29" i="55" s="1"/>
  <c r="T68" i="21"/>
  <c r="U68" i="21" s="1"/>
  <c r="L68" i="55" s="1"/>
  <c r="T23" i="21"/>
  <c r="U23" i="21" s="1"/>
  <c r="L23" i="55" s="1"/>
  <c r="T267" i="21"/>
  <c r="U267" i="21" s="1"/>
  <c r="L267" i="55" s="1"/>
  <c r="T127" i="21"/>
  <c r="U127" i="21" s="1"/>
  <c r="L127" i="55" s="1"/>
  <c r="T199" i="21"/>
  <c r="U199" i="21" s="1"/>
  <c r="L199" i="55" s="1"/>
  <c r="T81" i="21"/>
  <c r="U81" i="21" s="1"/>
  <c r="L81" i="55" s="1"/>
  <c r="T208" i="21"/>
  <c r="U208" i="21" s="1"/>
  <c r="L208" i="55" s="1"/>
  <c r="T154" i="21"/>
  <c r="U154" i="21" s="1"/>
  <c r="L154" i="55" s="1"/>
  <c r="T99" i="21"/>
  <c r="U99" i="21" s="1"/>
  <c r="L99" i="55" s="1"/>
  <c r="T288" i="21"/>
  <c r="U288" i="21" s="1"/>
  <c r="L288" i="55" s="1"/>
  <c r="T94" i="21"/>
  <c r="U94" i="21" s="1"/>
  <c r="L94" i="55" s="1"/>
  <c r="T220" i="21"/>
  <c r="U220" i="21" s="1"/>
  <c r="L220" i="55" s="1"/>
  <c r="T33" i="21"/>
  <c r="U33" i="21" s="1"/>
  <c r="L33" i="55" s="1"/>
  <c r="T95" i="21"/>
  <c r="U95" i="21" s="1"/>
  <c r="L95" i="55" s="1"/>
  <c r="T222" i="21"/>
  <c r="U222" i="21" s="1"/>
  <c r="L222" i="55" s="1"/>
  <c r="T284" i="21"/>
  <c r="U284" i="21" s="1"/>
  <c r="L284" i="55" s="1"/>
  <c r="T40" i="21"/>
  <c r="U40" i="21" s="1"/>
  <c r="L40" i="55" s="1"/>
  <c r="T104" i="21"/>
  <c r="U104" i="21" s="1"/>
  <c r="L104" i="55" s="1"/>
  <c r="T167" i="21"/>
  <c r="U167" i="21" s="1"/>
  <c r="L167" i="55" s="1"/>
  <c r="T231" i="21"/>
  <c r="U231" i="21" s="1"/>
  <c r="L231" i="55" s="1"/>
  <c r="T293" i="21"/>
  <c r="U293" i="21" s="1"/>
  <c r="L293" i="55" s="1"/>
  <c r="T49" i="21"/>
  <c r="U49" i="21" s="1"/>
  <c r="L49" i="55" s="1"/>
  <c r="T113" i="21"/>
  <c r="U113" i="21" s="1"/>
  <c r="L113" i="55" s="1"/>
  <c r="T176" i="21"/>
  <c r="U176" i="21" s="1"/>
  <c r="L176" i="55" s="1"/>
  <c r="T240" i="21"/>
  <c r="U240" i="21" s="1"/>
  <c r="L240" i="55" s="1"/>
  <c r="T301" i="21"/>
  <c r="U301" i="21" s="1"/>
  <c r="L301" i="55" s="1"/>
  <c r="T58" i="21"/>
  <c r="U58" i="21" s="1"/>
  <c r="L58" i="55" s="1"/>
  <c r="T122" i="21"/>
  <c r="U122" i="21" s="1"/>
  <c r="L122" i="55" s="1"/>
  <c r="T185" i="21"/>
  <c r="U185" i="21" s="1"/>
  <c r="L185" i="55" s="1"/>
  <c r="T249" i="21"/>
  <c r="U249" i="21" s="1"/>
  <c r="L249" i="55" s="1"/>
  <c r="T16" i="21"/>
  <c r="U16" i="21" s="1"/>
  <c r="L16" i="55" s="1"/>
  <c r="T67" i="21"/>
  <c r="U67" i="21" s="1"/>
  <c r="L67" i="55" s="1"/>
  <c r="T131" i="21"/>
  <c r="U131" i="21" s="1"/>
  <c r="L131" i="55" s="1"/>
  <c r="T194" i="21"/>
  <c r="U194" i="21" s="1"/>
  <c r="L194" i="55" s="1"/>
  <c r="T258" i="21"/>
  <c r="U258" i="21" s="1"/>
  <c r="L258" i="55" s="1"/>
  <c r="T102" i="21"/>
  <c r="U102" i="21" s="1"/>
  <c r="L102" i="55" s="1"/>
  <c r="T44" i="21"/>
  <c r="U44" i="21" s="1"/>
  <c r="L44" i="55" s="1"/>
  <c r="T108" i="21"/>
  <c r="U108" i="21" s="1"/>
  <c r="L108" i="55" s="1"/>
  <c r="T171" i="21"/>
  <c r="U171" i="21" s="1"/>
  <c r="L171" i="55" s="1"/>
  <c r="T235" i="21"/>
  <c r="U235" i="21" s="1"/>
  <c r="L235" i="55" s="1"/>
  <c r="T296" i="21"/>
  <c r="U296" i="21" s="1"/>
  <c r="L296" i="55" s="1"/>
  <c r="T158" i="21"/>
  <c r="U158" i="21" s="1"/>
  <c r="L158" i="55" s="1"/>
  <c r="T61" i="21"/>
  <c r="U61" i="21" s="1"/>
  <c r="L61" i="55" s="1"/>
  <c r="T125" i="21"/>
  <c r="U125" i="21" s="1"/>
  <c r="L125" i="55" s="1"/>
  <c r="T188" i="21"/>
  <c r="U188" i="21" s="1"/>
  <c r="L188" i="55" s="1"/>
  <c r="T252" i="21"/>
  <c r="U252" i="21" s="1"/>
  <c r="L252" i="55" s="1"/>
  <c r="T165" i="21"/>
  <c r="U165" i="21" s="1"/>
  <c r="L165" i="55" s="1"/>
  <c r="T291" i="21"/>
  <c r="U291" i="21" s="1"/>
  <c r="L291" i="55" s="1"/>
  <c r="T213" i="21"/>
  <c r="U213" i="21" s="1"/>
  <c r="L213" i="55" s="1"/>
  <c r="T55" i="21"/>
  <c r="U55" i="21" s="1"/>
  <c r="L55" i="55" s="1"/>
  <c r="T191" i="21"/>
  <c r="U191" i="21" s="1"/>
  <c r="L191" i="55" s="1"/>
  <c r="T11" i="21"/>
  <c r="U11" i="21" s="1"/>
  <c r="L11" i="55" s="1"/>
  <c r="T137" i="21"/>
  <c r="U137" i="21" s="1"/>
  <c r="L137" i="55" s="1"/>
  <c r="T82" i="21"/>
  <c r="U82" i="21" s="1"/>
  <c r="L82" i="55" s="1"/>
  <c r="T271" i="21"/>
  <c r="U271" i="21" s="1"/>
  <c r="L271" i="55" s="1"/>
  <c r="T280" i="21"/>
  <c r="U280" i="21" s="1"/>
  <c r="L280" i="55" s="1"/>
  <c r="T195" i="21"/>
  <c r="U195" i="21" s="1"/>
  <c r="L195" i="55" s="1"/>
  <c r="T212" i="21"/>
  <c r="U212" i="21" s="1"/>
  <c r="L212" i="55" s="1"/>
  <c r="T63" i="21"/>
  <c r="U63" i="21" s="1"/>
  <c r="L63" i="55" s="1"/>
  <c r="T270" i="21"/>
  <c r="U270" i="21" s="1"/>
  <c r="L270" i="55" s="1"/>
  <c r="T35" i="21"/>
  <c r="U35" i="21" s="1"/>
  <c r="L35" i="55" s="1"/>
  <c r="T14" i="21"/>
  <c r="U14" i="21" s="1"/>
  <c r="L14" i="55" s="1"/>
  <c r="T93" i="21"/>
  <c r="U93" i="21" s="1"/>
  <c r="L93" i="55" s="1"/>
  <c r="T39" i="21"/>
  <c r="U39" i="21" s="1"/>
  <c r="L39" i="55" s="1"/>
  <c r="T103" i="21"/>
  <c r="U103" i="21" s="1"/>
  <c r="L103" i="55" s="1"/>
  <c r="T166" i="21"/>
  <c r="U166" i="21" s="1"/>
  <c r="L166" i="55" s="1"/>
  <c r="T230" i="21"/>
  <c r="U230" i="21" s="1"/>
  <c r="L230" i="55" s="1"/>
  <c r="T292" i="21"/>
  <c r="U292" i="21" s="1"/>
  <c r="L292" i="55" s="1"/>
  <c r="T48" i="21"/>
  <c r="U48" i="21" s="1"/>
  <c r="L48" i="55" s="1"/>
  <c r="T112" i="21"/>
  <c r="U112" i="21" s="1"/>
  <c r="L112" i="55" s="1"/>
  <c r="T175" i="21"/>
  <c r="U175" i="21" s="1"/>
  <c r="L175" i="55" s="1"/>
  <c r="T239" i="21"/>
  <c r="U239" i="21" s="1"/>
  <c r="L239" i="55" s="1"/>
  <c r="T300" i="21"/>
  <c r="U300" i="21" s="1"/>
  <c r="L300" i="55" s="1"/>
  <c r="T57" i="21"/>
  <c r="U57" i="21" s="1"/>
  <c r="L57" i="55" s="1"/>
  <c r="T121" i="21"/>
  <c r="U121" i="21" s="1"/>
  <c r="L121" i="55" s="1"/>
  <c r="T184" i="21"/>
  <c r="U184" i="21" s="1"/>
  <c r="L184" i="55" s="1"/>
  <c r="T248" i="21"/>
  <c r="U248" i="21" s="1"/>
  <c r="L248" i="55" s="1"/>
  <c r="T24" i="21"/>
  <c r="U24" i="21" s="1"/>
  <c r="L24" i="55" s="1"/>
  <c r="T66" i="21"/>
  <c r="U66" i="21" s="1"/>
  <c r="L66" i="55" s="1"/>
  <c r="T130" i="21"/>
  <c r="U130" i="21" s="1"/>
  <c r="L130" i="55" s="1"/>
  <c r="T193" i="21"/>
  <c r="U193" i="21" s="1"/>
  <c r="L193" i="55" s="1"/>
  <c r="T257" i="21"/>
  <c r="U257" i="21" s="1"/>
  <c r="L257" i="55" s="1"/>
  <c r="T13" i="21"/>
  <c r="U13" i="21" s="1"/>
  <c r="L13" i="55" s="1"/>
  <c r="T75" i="21"/>
  <c r="U75" i="21" s="1"/>
  <c r="L75" i="55" s="1"/>
  <c r="T139" i="21"/>
  <c r="U139" i="21" s="1"/>
  <c r="L139" i="55" s="1"/>
  <c r="T202" i="21"/>
  <c r="U202" i="21" s="1"/>
  <c r="L202" i="55" s="1"/>
  <c r="T264" i="21"/>
  <c r="U264" i="21" s="1"/>
  <c r="L264" i="55" s="1"/>
  <c r="T118" i="21"/>
  <c r="U118" i="21" s="1"/>
  <c r="L118" i="55" s="1"/>
  <c r="T52" i="21"/>
  <c r="U52" i="21" s="1"/>
  <c r="L52" i="55" s="1"/>
  <c r="T116" i="21"/>
  <c r="U116" i="21" s="1"/>
  <c r="L116" i="55" s="1"/>
  <c r="T179" i="21"/>
  <c r="U179" i="21" s="1"/>
  <c r="L179" i="55" s="1"/>
  <c r="T243" i="21"/>
  <c r="U243" i="21" s="1"/>
  <c r="L243" i="55" s="1"/>
  <c r="T62" i="21"/>
  <c r="U62" i="21" s="1"/>
  <c r="L62" i="55" s="1"/>
  <c r="T173" i="21"/>
  <c r="U173" i="21" s="1"/>
  <c r="L173" i="55" s="1"/>
  <c r="T69" i="21"/>
  <c r="U69" i="21" s="1"/>
  <c r="L69" i="55" s="1"/>
  <c r="T133" i="21"/>
  <c r="U133" i="21" s="1"/>
  <c r="L133" i="55" s="1"/>
  <c r="T196" i="21"/>
  <c r="U196" i="21" s="1"/>
  <c r="L196" i="55" s="1"/>
  <c r="T260" i="21"/>
  <c r="U260" i="21" s="1"/>
  <c r="L260" i="55" s="1"/>
  <c r="T237" i="21"/>
  <c r="U237" i="21" s="1"/>
  <c r="L237" i="55" s="1"/>
  <c r="T189" i="21"/>
  <c r="U189" i="21" s="1"/>
  <c r="L189" i="55" s="1"/>
  <c r="T182" i="21"/>
  <c r="U182" i="21" s="1"/>
  <c r="L182" i="55" s="1"/>
  <c r="T91" i="21"/>
  <c r="U91" i="21" s="1"/>
  <c r="L91" i="55" s="1"/>
  <c r="T149" i="21"/>
  <c r="U149" i="21" s="1"/>
  <c r="L149" i="55" s="1"/>
  <c r="T10" i="21"/>
  <c r="U10" i="21" s="1"/>
  <c r="L10" i="55" s="1"/>
  <c r="T217" i="21"/>
  <c r="U217" i="21" s="1"/>
  <c r="L217" i="55" s="1"/>
  <c r="T265" i="21"/>
  <c r="U265" i="21" s="1"/>
  <c r="L265" i="55" s="1"/>
  <c r="T275" i="21"/>
  <c r="U275" i="21" s="1"/>
  <c r="L275" i="55" s="1"/>
  <c r="T47" i="21"/>
  <c r="U47" i="21" s="1"/>
  <c r="L47" i="55" s="1"/>
  <c r="T111" i="21"/>
  <c r="U111" i="21" s="1"/>
  <c r="L111" i="55" s="1"/>
  <c r="T174" i="21"/>
  <c r="U174" i="21" s="1"/>
  <c r="L174" i="55" s="1"/>
  <c r="T238" i="21"/>
  <c r="U238" i="21" s="1"/>
  <c r="L238" i="55" s="1"/>
  <c r="T299" i="21"/>
  <c r="U299" i="21" s="1"/>
  <c r="L299" i="55" s="1"/>
  <c r="T56" i="21"/>
  <c r="U56" i="21" s="1"/>
  <c r="L56" i="55" s="1"/>
  <c r="T120" i="21"/>
  <c r="U120" i="21" s="1"/>
  <c r="L120" i="55" s="1"/>
  <c r="T183" i="21"/>
  <c r="U183" i="21" s="1"/>
  <c r="L183" i="55" s="1"/>
  <c r="T247" i="21"/>
  <c r="U247" i="21" s="1"/>
  <c r="L247" i="55" s="1"/>
  <c r="T54" i="21"/>
  <c r="U54" i="21" s="1"/>
  <c r="L54" i="55" s="1"/>
  <c r="T65" i="21"/>
  <c r="U65" i="21" s="1"/>
  <c r="L65" i="55" s="1"/>
  <c r="T129" i="21"/>
  <c r="U129" i="21" s="1"/>
  <c r="L129" i="55" s="1"/>
  <c r="T192" i="21"/>
  <c r="U192" i="21" s="1"/>
  <c r="L192" i="55" s="1"/>
  <c r="T256" i="21"/>
  <c r="U256" i="21" s="1"/>
  <c r="L256" i="55" s="1"/>
  <c r="T12" i="21"/>
  <c r="U12" i="21" s="1"/>
  <c r="L12" i="55" s="1"/>
  <c r="T74" i="21"/>
  <c r="U74" i="21" s="1"/>
  <c r="L74" i="55" s="1"/>
  <c r="T138" i="21"/>
  <c r="U138" i="21" s="1"/>
  <c r="L138" i="55" s="1"/>
  <c r="T201" i="21"/>
  <c r="U201" i="21" s="1"/>
  <c r="L201" i="55" s="1"/>
  <c r="T263" i="21"/>
  <c r="U263" i="21" s="1"/>
  <c r="L263" i="55" s="1"/>
  <c r="T21" i="21"/>
  <c r="U21" i="21" s="1"/>
  <c r="L21" i="55" s="1"/>
  <c r="T83" i="21"/>
  <c r="U83" i="21" s="1"/>
  <c r="L83" i="55" s="1"/>
  <c r="T147" i="21"/>
  <c r="U147" i="21" s="1"/>
  <c r="L147" i="55" s="1"/>
  <c r="T210" i="21"/>
  <c r="U210" i="21" s="1"/>
  <c r="L210" i="55" s="1"/>
  <c r="T272" i="21"/>
  <c r="U272" i="21" s="1"/>
  <c r="L272" i="55" s="1"/>
  <c r="T134" i="21"/>
  <c r="U134" i="21" s="1"/>
  <c r="L134" i="55" s="1"/>
  <c r="T60" i="21"/>
  <c r="U60" i="21" s="1"/>
  <c r="L60" i="55" s="1"/>
  <c r="T124" i="21"/>
  <c r="U124" i="21" s="1"/>
  <c r="L124" i="55" s="1"/>
  <c r="T187" i="21"/>
  <c r="U187" i="21" s="1"/>
  <c r="L187" i="55" s="1"/>
  <c r="T251" i="21"/>
  <c r="U251" i="21" s="1"/>
  <c r="L251" i="55" s="1"/>
  <c r="T70" i="21"/>
  <c r="U70" i="21" s="1"/>
  <c r="L70" i="55" s="1"/>
  <c r="T15" i="21"/>
  <c r="U15" i="21" s="1"/>
  <c r="L15" i="55" s="1"/>
  <c r="T77" i="21"/>
  <c r="U77" i="21" s="1"/>
  <c r="L77" i="55" s="1"/>
  <c r="T141" i="21"/>
  <c r="U141" i="21" s="1"/>
  <c r="L141" i="55" s="1"/>
  <c r="T204" i="21"/>
  <c r="U204" i="21" s="1"/>
  <c r="L204" i="55" s="1"/>
  <c r="T266" i="21"/>
  <c r="U266" i="21" s="1"/>
  <c r="L266" i="55" s="1"/>
  <c r="T298" i="21"/>
  <c r="U298" i="21" s="1"/>
  <c r="L298" i="55" s="1"/>
  <c r="T253" i="21"/>
  <c r="U253" i="21" s="1"/>
  <c r="L253" i="55" s="1"/>
  <c r="T64" i="21"/>
  <c r="U64" i="21" s="1"/>
  <c r="L64" i="55" s="1"/>
  <c r="T155" i="21"/>
  <c r="U155" i="21" s="1"/>
  <c r="L155" i="55" s="1"/>
  <c r="T85" i="21"/>
  <c r="U85" i="21" s="1"/>
  <c r="L85" i="55" s="1"/>
  <c r="T254" i="21"/>
  <c r="U254" i="21" s="1"/>
  <c r="L254" i="55" s="1"/>
  <c r="T28" i="21"/>
  <c r="U28" i="21" s="1"/>
  <c r="L28" i="55" s="1"/>
  <c r="T162" i="21"/>
  <c r="U162" i="21" s="1"/>
  <c r="L162" i="55" s="1"/>
  <c r="T203" i="21"/>
  <c r="U203" i="21" s="1"/>
  <c r="L203" i="55" s="1"/>
  <c r="T157" i="21"/>
  <c r="U157" i="21" s="1"/>
  <c r="L157" i="55" s="1"/>
  <c r="F13" i="9"/>
  <c r="U9" i="45"/>
  <c r="U8" i="45"/>
  <c r="U10" i="45"/>
  <c r="U11" i="45"/>
  <c r="U13" i="45"/>
  <c r="U12" i="45"/>
  <c r="P241" i="29"/>
  <c r="P160" i="29"/>
  <c r="P166" i="29"/>
  <c r="P191" i="29"/>
  <c r="P198" i="29"/>
  <c r="P88" i="29"/>
  <c r="P93" i="29"/>
  <c r="P273" i="29"/>
  <c r="P190" i="29"/>
  <c r="P74" i="29"/>
  <c r="P163" i="29"/>
  <c r="P78" i="29"/>
  <c r="P81" i="29"/>
  <c r="P25" i="29"/>
  <c r="P182" i="29"/>
  <c r="P102" i="29"/>
  <c r="P38" i="29"/>
  <c r="P240" i="29"/>
  <c r="P22" i="29"/>
  <c r="P214" i="29"/>
  <c r="P244" i="29"/>
  <c r="P94" i="29"/>
  <c r="P52" i="29"/>
  <c r="P37" i="29"/>
  <c r="P167" i="29"/>
  <c r="P117" i="29"/>
  <c r="P33" i="29"/>
  <c r="P189" i="29"/>
  <c r="P141" i="29"/>
  <c r="P236" i="29"/>
  <c r="P228" i="29"/>
  <c r="P169" i="29"/>
  <c r="P168" i="29"/>
  <c r="P193" i="29"/>
  <c r="P44" i="29"/>
  <c r="P286" i="29"/>
  <c r="P80" i="29"/>
  <c r="P158" i="29"/>
  <c r="P40" i="29"/>
  <c r="P238" i="29"/>
  <c r="P174" i="29"/>
  <c r="P14" i="29"/>
  <c r="P57" i="29"/>
  <c r="P53" i="29"/>
  <c r="P69" i="29"/>
  <c r="P153" i="29"/>
  <c r="P109" i="29"/>
  <c r="P161" i="29"/>
  <c r="P101" i="29"/>
  <c r="P82" i="29"/>
  <c r="P252" i="29"/>
  <c r="P215" i="29"/>
  <c r="P254" i="29"/>
  <c r="P170" i="29"/>
  <c r="P84" i="29"/>
  <c r="P210" i="29"/>
  <c r="P203" i="29"/>
  <c r="P99" i="29"/>
  <c r="P75" i="29"/>
  <c r="P221" i="29"/>
  <c r="P30" i="29"/>
  <c r="P32" i="29"/>
  <c r="P225" i="29"/>
  <c r="P233" i="29"/>
  <c r="P49" i="29"/>
  <c r="P175" i="29"/>
  <c r="P207" i="29"/>
  <c r="P165" i="29"/>
  <c r="P199" i="29"/>
  <c r="P247" i="29"/>
  <c r="P180" i="29"/>
  <c r="P151" i="29"/>
  <c r="P287" i="29"/>
  <c r="P89" i="29"/>
  <c r="P126" i="29"/>
  <c r="P179" i="29"/>
  <c r="P257" i="29"/>
  <c r="P255" i="29"/>
  <c r="P154" i="29"/>
  <c r="P26" i="29"/>
  <c r="P97" i="29"/>
  <c r="P41" i="29"/>
  <c r="P192" i="29"/>
  <c r="P60" i="29"/>
  <c r="P134" i="29"/>
  <c r="P131" i="29"/>
  <c r="P282" i="29"/>
  <c r="P209" i="29"/>
  <c r="P227" i="29"/>
  <c r="P64" i="29"/>
  <c r="P23" i="29"/>
  <c r="P249" i="29"/>
  <c r="P39" i="29"/>
  <c r="P173" i="29"/>
  <c r="P184" i="29"/>
  <c r="P90" i="29"/>
  <c r="P298" i="29"/>
  <c r="P239" i="29"/>
  <c r="P196" i="29"/>
  <c r="P276" i="29"/>
  <c r="P159" i="29"/>
  <c r="P79" i="29"/>
  <c r="P172" i="29"/>
  <c r="P212" i="29"/>
  <c r="P136" i="29"/>
  <c r="P68" i="29"/>
  <c r="P107" i="29"/>
  <c r="P277" i="29"/>
  <c r="P217" i="29"/>
  <c r="P259" i="29"/>
  <c r="P242" i="29"/>
  <c r="P176" i="29"/>
  <c r="P87" i="29"/>
  <c r="P206" i="29"/>
  <c r="P245" i="29"/>
  <c r="P288" i="29"/>
  <c r="P177" i="29"/>
  <c r="P51" i="29"/>
  <c r="P31" i="29"/>
  <c r="P140" i="29"/>
  <c r="P58" i="29"/>
  <c r="P62" i="29"/>
  <c r="P65" i="29"/>
  <c r="P20" i="29"/>
  <c r="P219" i="29"/>
  <c r="P278" i="29"/>
  <c r="P230" i="29"/>
  <c r="P103" i="29"/>
  <c r="P19" i="29"/>
  <c r="P42" i="29"/>
  <c r="P155" i="29"/>
  <c r="P187" i="29"/>
  <c r="P27" i="29"/>
  <c r="P220" i="29"/>
  <c r="P133" i="29"/>
  <c r="P263" i="29"/>
  <c r="P35" i="29"/>
  <c r="P243" i="29"/>
  <c r="P197" i="29"/>
  <c r="P56" i="29"/>
  <c r="P234" i="29"/>
  <c r="P280" i="29"/>
  <c r="P46" i="29"/>
  <c r="P73" i="29"/>
  <c r="P50" i="29"/>
  <c r="P95" i="29"/>
  <c r="P211" i="29"/>
  <c r="P132" i="29"/>
  <c r="P18" i="29"/>
  <c r="P299" i="29"/>
  <c r="P24" i="29"/>
  <c r="P157" i="29"/>
  <c r="P188" i="29"/>
  <c r="P229" i="29"/>
  <c r="P256" i="29"/>
  <c r="P162" i="29"/>
  <c r="P15" i="29"/>
  <c r="P86" i="29"/>
  <c r="P67" i="29"/>
  <c r="P96" i="29"/>
  <c r="P297" i="29"/>
  <c r="P231" i="29"/>
  <c r="P149" i="29"/>
  <c r="P127" i="29"/>
  <c r="P246" i="29"/>
  <c r="P76" i="29"/>
  <c r="P200" i="29"/>
  <c r="P205" i="29"/>
  <c r="P253" i="29"/>
  <c r="P218" i="29"/>
  <c r="P100" i="29"/>
  <c r="P91" i="29"/>
  <c r="P216" i="29"/>
  <c r="P290" i="29"/>
  <c r="P156" i="29"/>
  <c r="P104" i="29"/>
  <c r="P36" i="29"/>
  <c r="P224" i="29"/>
  <c r="P171" i="29"/>
  <c r="P13" i="29"/>
  <c r="P85" i="29"/>
  <c r="P248" i="29"/>
  <c r="P152" i="29"/>
  <c r="P261" i="29"/>
  <c r="P235" i="29"/>
  <c r="P208" i="29"/>
  <c r="P232" i="29"/>
  <c r="P185" i="29"/>
  <c r="P223" i="29"/>
  <c r="P105" i="29"/>
  <c r="P119" i="29"/>
  <c r="P66" i="29"/>
  <c r="P296" i="29"/>
  <c r="P71" i="29"/>
  <c r="P281" i="29"/>
  <c r="P213" i="29"/>
  <c r="P237" i="29"/>
  <c r="P83" i="29"/>
  <c r="P222" i="29"/>
  <c r="P250" i="29"/>
  <c r="P112" i="29"/>
  <c r="P77" i="29"/>
  <c r="P260" i="29"/>
  <c r="P34" i="29"/>
  <c r="P204" i="29"/>
  <c r="P202" i="29"/>
  <c r="P226" i="29"/>
  <c r="P292" i="29"/>
  <c r="P21" i="29"/>
  <c r="P283" i="29"/>
  <c r="P301" i="29"/>
  <c r="P29" i="29"/>
  <c r="P201" i="29"/>
  <c r="P262" i="29"/>
  <c r="P135" i="29"/>
  <c r="P295" i="29"/>
  <c r="P164" i="29"/>
  <c r="P98" i="29"/>
  <c r="P274" i="29"/>
  <c r="P251" i="29"/>
  <c r="P72" i="29"/>
  <c r="P289" i="29"/>
  <c r="P48" i="29"/>
  <c r="P47" i="29"/>
  <c r="P138" i="29"/>
  <c r="P181" i="29"/>
  <c r="P258" i="29"/>
  <c r="P186" i="29"/>
  <c r="P28" i="29"/>
  <c r="P139" i="29"/>
  <c r="P63" i="29"/>
  <c r="P178" i="29"/>
  <c r="P92" i="29"/>
  <c r="P55" i="29"/>
  <c r="P110" i="29"/>
  <c r="P145" i="29"/>
  <c r="E302" i="21"/>
  <c r="F302" i="21"/>
  <c r="D302" i="21"/>
  <c r="J302" i="21"/>
  <c r="H302" i="21"/>
  <c r="G302" i="21"/>
  <c r="E17" i="57" l="1"/>
  <c r="H17" i="57" s="1"/>
  <c r="U27" i="45"/>
  <c r="P27" i="45" s="1"/>
  <c r="U8" i="21"/>
  <c r="L8" i="55" s="1"/>
  <c r="L302" i="55" s="1"/>
  <c r="T302" i="21"/>
  <c r="U302" i="21" s="1"/>
  <c r="U6" i="21" s="1"/>
  <c r="S14" i="45"/>
  <c r="U14" i="45"/>
  <c r="L302" i="29"/>
  <c r="P302" i="29"/>
  <c r="S8" i="29" s="1"/>
  <c r="S24" i="29" l="1"/>
  <c r="U24" i="29" s="1"/>
  <c r="U24" i="55" s="1"/>
  <c r="S54" i="29"/>
  <c r="U54" i="29" s="1"/>
  <c r="U54" i="55" s="1"/>
  <c r="S86" i="29"/>
  <c r="U86" i="29" s="1"/>
  <c r="U86" i="55" s="1"/>
  <c r="S118" i="29"/>
  <c r="U118" i="29" s="1"/>
  <c r="U118" i="55" s="1"/>
  <c r="S150" i="29"/>
  <c r="U150" i="29" s="1"/>
  <c r="U150" i="55" s="1"/>
  <c r="S181" i="29"/>
  <c r="U181" i="29" s="1"/>
  <c r="U181" i="55" s="1"/>
  <c r="S213" i="29"/>
  <c r="U213" i="29" s="1"/>
  <c r="U213" i="55" s="1"/>
  <c r="S245" i="29"/>
  <c r="U245" i="29" s="1"/>
  <c r="U245" i="55" s="1"/>
  <c r="S275" i="29"/>
  <c r="U275" i="29" s="1"/>
  <c r="U275" i="55" s="1"/>
  <c r="S13" i="29"/>
  <c r="U13" i="29" s="1"/>
  <c r="U13" i="55" s="1"/>
  <c r="S43" i="29"/>
  <c r="U43" i="29" s="1"/>
  <c r="U43" i="55" s="1"/>
  <c r="S75" i="29"/>
  <c r="U75" i="29" s="1"/>
  <c r="U75" i="55" s="1"/>
  <c r="S107" i="29"/>
  <c r="U107" i="29" s="1"/>
  <c r="U107" i="55" s="1"/>
  <c r="S139" i="29"/>
  <c r="U139" i="29" s="1"/>
  <c r="U139" i="55" s="1"/>
  <c r="S170" i="29"/>
  <c r="U170" i="29" s="1"/>
  <c r="U170" i="55" s="1"/>
  <c r="S202" i="29"/>
  <c r="U202" i="29" s="1"/>
  <c r="U202" i="55" s="1"/>
  <c r="S234" i="29"/>
  <c r="U234" i="29" s="1"/>
  <c r="U234" i="55" s="1"/>
  <c r="S264" i="29"/>
  <c r="U264" i="29" s="1"/>
  <c r="U264" i="55" s="1"/>
  <c r="S295" i="29"/>
  <c r="U295" i="29" s="1"/>
  <c r="U295" i="55" s="1"/>
  <c r="S34" i="29"/>
  <c r="U34" i="29" s="1"/>
  <c r="U34" i="55" s="1"/>
  <c r="S64" i="29"/>
  <c r="U64" i="29" s="1"/>
  <c r="U64" i="55" s="1"/>
  <c r="S96" i="29"/>
  <c r="U96" i="29" s="1"/>
  <c r="U96" i="55" s="1"/>
  <c r="S128" i="29"/>
  <c r="U128" i="29" s="1"/>
  <c r="U128" i="55" s="1"/>
  <c r="S159" i="29"/>
  <c r="U159" i="29" s="1"/>
  <c r="U159" i="55" s="1"/>
  <c r="S191" i="29"/>
  <c r="U191" i="29" s="1"/>
  <c r="U191" i="55" s="1"/>
  <c r="S223" i="29"/>
  <c r="U223" i="29" s="1"/>
  <c r="U223" i="55" s="1"/>
  <c r="S255" i="29"/>
  <c r="U255" i="29" s="1"/>
  <c r="U255" i="55" s="1"/>
  <c r="S285" i="29"/>
  <c r="U285" i="29" s="1"/>
  <c r="U285" i="55" s="1"/>
  <c r="S23" i="29"/>
  <c r="U23" i="29" s="1"/>
  <c r="U23" i="55" s="1"/>
  <c r="S53" i="29"/>
  <c r="U53" i="29" s="1"/>
  <c r="U53" i="55" s="1"/>
  <c r="S85" i="29"/>
  <c r="U85" i="29" s="1"/>
  <c r="U85" i="55" s="1"/>
  <c r="S117" i="29"/>
  <c r="U117" i="29" s="1"/>
  <c r="U117" i="55" s="1"/>
  <c r="S149" i="29"/>
  <c r="U149" i="29" s="1"/>
  <c r="U149" i="55" s="1"/>
  <c r="S180" i="29"/>
  <c r="U180" i="29" s="1"/>
  <c r="U180" i="55" s="1"/>
  <c r="S212" i="29"/>
  <c r="U212" i="29" s="1"/>
  <c r="U212" i="55" s="1"/>
  <c r="S244" i="29"/>
  <c r="U244" i="29" s="1"/>
  <c r="U244" i="55" s="1"/>
  <c r="S274" i="29"/>
  <c r="U274" i="29" s="1"/>
  <c r="U274" i="55" s="1"/>
  <c r="S37" i="29"/>
  <c r="U37" i="29" s="1"/>
  <c r="U37" i="55" s="1"/>
  <c r="S101" i="29"/>
  <c r="U101" i="29" s="1"/>
  <c r="U101" i="55" s="1"/>
  <c r="S260" i="29"/>
  <c r="U260" i="29" s="1"/>
  <c r="U260" i="55" s="1"/>
  <c r="S45" i="29"/>
  <c r="U45" i="29" s="1"/>
  <c r="U45" i="55" s="1"/>
  <c r="S20" i="29"/>
  <c r="U20" i="29" s="1"/>
  <c r="U20" i="55" s="1"/>
  <c r="S28" i="29"/>
  <c r="U28" i="29" s="1"/>
  <c r="U28" i="55" s="1"/>
  <c r="S58" i="29"/>
  <c r="U58" i="29" s="1"/>
  <c r="U58" i="55" s="1"/>
  <c r="S90" i="29"/>
  <c r="U90" i="29" s="1"/>
  <c r="U90" i="55" s="1"/>
  <c r="S122" i="29"/>
  <c r="U122" i="29" s="1"/>
  <c r="U122" i="55" s="1"/>
  <c r="S154" i="29"/>
  <c r="U154" i="29" s="1"/>
  <c r="U154" i="55" s="1"/>
  <c r="S185" i="29"/>
  <c r="U185" i="29" s="1"/>
  <c r="U185" i="55" s="1"/>
  <c r="S217" i="29"/>
  <c r="S249" i="29"/>
  <c r="U249" i="29" s="1"/>
  <c r="U249" i="55" s="1"/>
  <c r="S279" i="29"/>
  <c r="U279" i="29" s="1"/>
  <c r="U279" i="55" s="1"/>
  <c r="S17" i="29"/>
  <c r="U17" i="29" s="1"/>
  <c r="U17" i="55" s="1"/>
  <c r="S47" i="29"/>
  <c r="U47" i="29" s="1"/>
  <c r="U47" i="55" s="1"/>
  <c r="S79" i="29"/>
  <c r="U79" i="29" s="1"/>
  <c r="U79" i="55" s="1"/>
  <c r="S111" i="29"/>
  <c r="U111" i="29" s="1"/>
  <c r="U111" i="55" s="1"/>
  <c r="S143" i="29"/>
  <c r="U143" i="29" s="1"/>
  <c r="U143" i="55" s="1"/>
  <c r="S174" i="29"/>
  <c r="U174" i="29" s="1"/>
  <c r="U174" i="55" s="1"/>
  <c r="S206" i="29"/>
  <c r="U206" i="29" s="1"/>
  <c r="U206" i="55" s="1"/>
  <c r="S238" i="29"/>
  <c r="U238" i="29" s="1"/>
  <c r="U238" i="55" s="1"/>
  <c r="S268" i="29"/>
  <c r="U268" i="29" s="1"/>
  <c r="U268" i="55" s="1"/>
  <c r="S299" i="29"/>
  <c r="U299" i="29" s="1"/>
  <c r="U299" i="55" s="1"/>
  <c r="S36" i="29"/>
  <c r="U36" i="29" s="1"/>
  <c r="U36" i="55" s="1"/>
  <c r="S68" i="29"/>
  <c r="U68" i="29" s="1"/>
  <c r="U68" i="55" s="1"/>
  <c r="S100" i="29"/>
  <c r="U100" i="29" s="1"/>
  <c r="U100" i="55" s="1"/>
  <c r="S132" i="29"/>
  <c r="U132" i="29" s="1"/>
  <c r="U132" i="55" s="1"/>
  <c r="S163" i="29"/>
  <c r="S195" i="29"/>
  <c r="U195" i="29" s="1"/>
  <c r="U195" i="55" s="1"/>
  <c r="S227" i="29"/>
  <c r="U227" i="29" s="1"/>
  <c r="U227" i="55" s="1"/>
  <c r="S259" i="29"/>
  <c r="U259" i="29" s="1"/>
  <c r="U259" i="55" s="1"/>
  <c r="S289" i="29"/>
  <c r="U289" i="29" s="1"/>
  <c r="U289" i="55" s="1"/>
  <c r="S27" i="29"/>
  <c r="U27" i="29" s="1"/>
  <c r="U27" i="55" s="1"/>
  <c r="S57" i="29"/>
  <c r="U57" i="29" s="1"/>
  <c r="U57" i="55" s="1"/>
  <c r="S89" i="29"/>
  <c r="U89" i="29" s="1"/>
  <c r="U89" i="55" s="1"/>
  <c r="S121" i="29"/>
  <c r="U121" i="29" s="1"/>
  <c r="U121" i="55" s="1"/>
  <c r="S153" i="29"/>
  <c r="U153" i="29" s="1"/>
  <c r="U153" i="55" s="1"/>
  <c r="S184" i="29"/>
  <c r="U184" i="29" s="1"/>
  <c r="U184" i="55" s="1"/>
  <c r="S216" i="29"/>
  <c r="U216" i="29" s="1"/>
  <c r="U216" i="55" s="1"/>
  <c r="S248" i="29"/>
  <c r="U248" i="29" s="1"/>
  <c r="U248" i="55" s="1"/>
  <c r="S278" i="29"/>
  <c r="U278" i="29" s="1"/>
  <c r="U278" i="55" s="1"/>
  <c r="S269" i="29"/>
  <c r="U269" i="29" s="1"/>
  <c r="U269" i="55" s="1"/>
  <c r="S164" i="29"/>
  <c r="U164" i="29" s="1"/>
  <c r="U164" i="55" s="1"/>
  <c r="S204" i="29"/>
  <c r="U204" i="29" s="1"/>
  <c r="U204" i="55" s="1"/>
  <c r="S297" i="29"/>
  <c r="S32" i="29"/>
  <c r="U32" i="29" s="1"/>
  <c r="U32" i="55" s="1"/>
  <c r="S62" i="29"/>
  <c r="U62" i="29" s="1"/>
  <c r="U62" i="55" s="1"/>
  <c r="S94" i="29"/>
  <c r="U94" i="29" s="1"/>
  <c r="U94" i="55" s="1"/>
  <c r="S126" i="29"/>
  <c r="U126" i="29" s="1"/>
  <c r="U126" i="55" s="1"/>
  <c r="S158" i="29"/>
  <c r="U158" i="29" s="1"/>
  <c r="U158" i="55" s="1"/>
  <c r="S189" i="29"/>
  <c r="U189" i="29" s="1"/>
  <c r="U189" i="55" s="1"/>
  <c r="S221" i="29"/>
  <c r="U221" i="29" s="1"/>
  <c r="U221" i="55" s="1"/>
  <c r="S253" i="29"/>
  <c r="U253" i="29" s="1"/>
  <c r="U253" i="55" s="1"/>
  <c r="S283" i="29"/>
  <c r="U283" i="29" s="1"/>
  <c r="U283" i="55" s="1"/>
  <c r="S21" i="29"/>
  <c r="U21" i="29" s="1"/>
  <c r="U21" i="55" s="1"/>
  <c r="S51" i="29"/>
  <c r="U51" i="29" s="1"/>
  <c r="U51" i="55" s="1"/>
  <c r="S83" i="29"/>
  <c r="U83" i="29" s="1"/>
  <c r="U83" i="55" s="1"/>
  <c r="S115" i="29"/>
  <c r="U115" i="29" s="1"/>
  <c r="U115" i="55" s="1"/>
  <c r="S147" i="29"/>
  <c r="U147" i="29" s="1"/>
  <c r="U147" i="55" s="1"/>
  <c r="S178" i="29"/>
  <c r="U178" i="29" s="1"/>
  <c r="U178" i="55" s="1"/>
  <c r="S210" i="29"/>
  <c r="U210" i="29" s="1"/>
  <c r="U210" i="55" s="1"/>
  <c r="S242" i="29"/>
  <c r="U242" i="29" s="1"/>
  <c r="U242" i="55" s="1"/>
  <c r="S272" i="29"/>
  <c r="U272" i="29" s="1"/>
  <c r="U272" i="55" s="1"/>
  <c r="S10" i="29"/>
  <c r="U10" i="29" s="1"/>
  <c r="U10" i="55" s="1"/>
  <c r="S40" i="29"/>
  <c r="U40" i="29" s="1"/>
  <c r="U40" i="55" s="1"/>
  <c r="S72" i="29"/>
  <c r="U72" i="29" s="1"/>
  <c r="U72" i="55" s="1"/>
  <c r="S104" i="29"/>
  <c r="U104" i="29" s="1"/>
  <c r="U104" i="55" s="1"/>
  <c r="S136" i="29"/>
  <c r="U136" i="29" s="1"/>
  <c r="U136" i="55" s="1"/>
  <c r="S167" i="29"/>
  <c r="U167" i="29" s="1"/>
  <c r="U167" i="55" s="1"/>
  <c r="S199" i="29"/>
  <c r="U199" i="29" s="1"/>
  <c r="U199" i="55" s="1"/>
  <c r="S231" i="29"/>
  <c r="U231" i="29" s="1"/>
  <c r="U231" i="55" s="1"/>
  <c r="S293" i="29"/>
  <c r="U293" i="29" s="1"/>
  <c r="U293" i="55" s="1"/>
  <c r="S31" i="29"/>
  <c r="U31" i="29" s="1"/>
  <c r="U31" i="55" s="1"/>
  <c r="S61" i="29"/>
  <c r="U61" i="29" s="1"/>
  <c r="U61" i="55" s="1"/>
  <c r="S93" i="29"/>
  <c r="U93" i="29" s="1"/>
  <c r="U93" i="55" s="1"/>
  <c r="S125" i="29"/>
  <c r="U125" i="29" s="1"/>
  <c r="U125" i="55" s="1"/>
  <c r="S157" i="29"/>
  <c r="U157" i="29" s="1"/>
  <c r="U157" i="55" s="1"/>
  <c r="S188" i="29"/>
  <c r="U188" i="29" s="1"/>
  <c r="U188" i="55" s="1"/>
  <c r="S220" i="29"/>
  <c r="U220" i="29" s="1"/>
  <c r="U220" i="55" s="1"/>
  <c r="S252" i="29"/>
  <c r="U252" i="29" s="1"/>
  <c r="U252" i="55" s="1"/>
  <c r="S282" i="29"/>
  <c r="U282" i="29" s="1"/>
  <c r="U282" i="55" s="1"/>
  <c r="S300" i="29"/>
  <c r="U300" i="29" s="1"/>
  <c r="U300" i="55" s="1"/>
  <c r="S133" i="29"/>
  <c r="U133" i="29" s="1"/>
  <c r="U133" i="55" s="1"/>
  <c r="S290" i="29"/>
  <c r="U290" i="29" s="1"/>
  <c r="U290" i="55" s="1"/>
  <c r="S77" i="29"/>
  <c r="U77" i="29" s="1"/>
  <c r="U77" i="55" s="1"/>
  <c r="S66" i="29"/>
  <c r="U66" i="29" s="1"/>
  <c r="U66" i="55" s="1"/>
  <c r="S98" i="29"/>
  <c r="U98" i="29" s="1"/>
  <c r="U98" i="55" s="1"/>
  <c r="S130" i="29"/>
  <c r="U130" i="29" s="1"/>
  <c r="U130" i="55" s="1"/>
  <c r="S161" i="29"/>
  <c r="U161" i="29" s="1"/>
  <c r="U161" i="55" s="1"/>
  <c r="S193" i="29"/>
  <c r="U193" i="29" s="1"/>
  <c r="U193" i="55" s="1"/>
  <c r="S225" i="29"/>
  <c r="U225" i="29" s="1"/>
  <c r="U225" i="55" s="1"/>
  <c r="S257" i="29"/>
  <c r="U257" i="29" s="1"/>
  <c r="U257" i="55" s="1"/>
  <c r="S287" i="29"/>
  <c r="U287" i="29" s="1"/>
  <c r="U287" i="55" s="1"/>
  <c r="S25" i="29"/>
  <c r="U25" i="29" s="1"/>
  <c r="U25" i="55" s="1"/>
  <c r="S55" i="29"/>
  <c r="U55" i="29" s="1"/>
  <c r="U55" i="55" s="1"/>
  <c r="S87" i="29"/>
  <c r="U87" i="29" s="1"/>
  <c r="U87" i="55" s="1"/>
  <c r="S119" i="29"/>
  <c r="U119" i="29" s="1"/>
  <c r="U119" i="55" s="1"/>
  <c r="S151" i="29"/>
  <c r="U151" i="29" s="1"/>
  <c r="U151" i="55" s="1"/>
  <c r="S182" i="29"/>
  <c r="U182" i="29" s="1"/>
  <c r="U182" i="55" s="1"/>
  <c r="S214" i="29"/>
  <c r="U214" i="29" s="1"/>
  <c r="U214" i="55" s="1"/>
  <c r="S246" i="29"/>
  <c r="U246" i="29" s="1"/>
  <c r="U246" i="55" s="1"/>
  <c r="S276" i="29"/>
  <c r="U276" i="29" s="1"/>
  <c r="U276" i="55" s="1"/>
  <c r="S14" i="29"/>
  <c r="U14" i="29" s="1"/>
  <c r="U14" i="55" s="1"/>
  <c r="S44" i="29"/>
  <c r="U44" i="29" s="1"/>
  <c r="U44" i="55" s="1"/>
  <c r="S76" i="29"/>
  <c r="U76" i="29" s="1"/>
  <c r="U76" i="55" s="1"/>
  <c r="S108" i="29"/>
  <c r="U108" i="29" s="1"/>
  <c r="U108" i="55" s="1"/>
  <c r="S140" i="29"/>
  <c r="U140" i="29" s="1"/>
  <c r="U140" i="55" s="1"/>
  <c r="S171" i="29"/>
  <c r="U171" i="29" s="1"/>
  <c r="U171" i="55" s="1"/>
  <c r="S203" i="29"/>
  <c r="U203" i="29" s="1"/>
  <c r="U203" i="55" s="1"/>
  <c r="S235" i="29"/>
  <c r="U235" i="29" s="1"/>
  <c r="U235" i="55" s="1"/>
  <c r="S265" i="29"/>
  <c r="U265" i="29" s="1"/>
  <c r="U265" i="55" s="1"/>
  <c r="S296" i="29"/>
  <c r="U296" i="29" s="1"/>
  <c r="U296" i="55" s="1"/>
  <c r="S65" i="29"/>
  <c r="U65" i="29" s="1"/>
  <c r="U65" i="55" s="1"/>
  <c r="S97" i="29"/>
  <c r="U97" i="29" s="1"/>
  <c r="U97" i="55" s="1"/>
  <c r="S129" i="29"/>
  <c r="U129" i="29" s="1"/>
  <c r="U129" i="55" s="1"/>
  <c r="S160" i="29"/>
  <c r="U160" i="29" s="1"/>
  <c r="U160" i="55" s="1"/>
  <c r="S192" i="29"/>
  <c r="U192" i="29" s="1"/>
  <c r="U192" i="55" s="1"/>
  <c r="S224" i="29"/>
  <c r="U224" i="29" s="1"/>
  <c r="U224" i="55" s="1"/>
  <c r="S256" i="29"/>
  <c r="U256" i="29" s="1"/>
  <c r="U256" i="55" s="1"/>
  <c r="S286" i="29"/>
  <c r="U286" i="29" s="1"/>
  <c r="U286" i="55" s="1"/>
  <c r="S239" i="29"/>
  <c r="U239" i="29" s="1"/>
  <c r="U239" i="55" s="1"/>
  <c r="S228" i="29"/>
  <c r="U228" i="29" s="1"/>
  <c r="U228" i="55" s="1"/>
  <c r="S109" i="29"/>
  <c r="U109" i="29" s="1"/>
  <c r="U109" i="55" s="1"/>
  <c r="S266" i="29"/>
  <c r="U266" i="29" s="1"/>
  <c r="U266" i="55" s="1"/>
  <c r="S38" i="29"/>
  <c r="U38" i="29" s="1"/>
  <c r="U38" i="55" s="1"/>
  <c r="S70" i="29"/>
  <c r="U70" i="29" s="1"/>
  <c r="U70" i="55" s="1"/>
  <c r="S102" i="29"/>
  <c r="U102" i="29" s="1"/>
  <c r="U102" i="55" s="1"/>
  <c r="S134" i="29"/>
  <c r="U134" i="29" s="1"/>
  <c r="U134" i="55" s="1"/>
  <c r="S165" i="29"/>
  <c r="U165" i="29" s="1"/>
  <c r="U165" i="55" s="1"/>
  <c r="S197" i="29"/>
  <c r="U197" i="29" s="1"/>
  <c r="U197" i="55" s="1"/>
  <c r="S229" i="29"/>
  <c r="U229" i="29" s="1"/>
  <c r="U229" i="55" s="1"/>
  <c r="S261" i="29"/>
  <c r="U261" i="29" s="1"/>
  <c r="U261" i="55" s="1"/>
  <c r="S291" i="29"/>
  <c r="U291" i="29" s="1"/>
  <c r="U291" i="55" s="1"/>
  <c r="S29" i="29"/>
  <c r="U29" i="29" s="1"/>
  <c r="U29" i="55" s="1"/>
  <c r="S59" i="29"/>
  <c r="U59" i="29" s="1"/>
  <c r="U59" i="55" s="1"/>
  <c r="S91" i="29"/>
  <c r="U91" i="29" s="1"/>
  <c r="U91" i="55" s="1"/>
  <c r="S123" i="29"/>
  <c r="U123" i="29" s="1"/>
  <c r="U123" i="55" s="1"/>
  <c r="S155" i="29"/>
  <c r="U155" i="29" s="1"/>
  <c r="U155" i="55" s="1"/>
  <c r="S186" i="29"/>
  <c r="U186" i="29" s="1"/>
  <c r="U186" i="55" s="1"/>
  <c r="S218" i="29"/>
  <c r="U218" i="29" s="1"/>
  <c r="U218" i="55" s="1"/>
  <c r="S250" i="29"/>
  <c r="S280" i="29"/>
  <c r="U280" i="29" s="1"/>
  <c r="U280" i="55" s="1"/>
  <c r="S18" i="29"/>
  <c r="U18" i="29" s="1"/>
  <c r="U18" i="55" s="1"/>
  <c r="S48" i="29"/>
  <c r="U48" i="29" s="1"/>
  <c r="U48" i="55" s="1"/>
  <c r="S80" i="29"/>
  <c r="U80" i="29" s="1"/>
  <c r="U80" i="55" s="1"/>
  <c r="S112" i="29"/>
  <c r="U112" i="29" s="1"/>
  <c r="U112" i="55" s="1"/>
  <c r="S144" i="29"/>
  <c r="U144" i="29" s="1"/>
  <c r="U144" i="55" s="1"/>
  <c r="S175" i="29"/>
  <c r="U175" i="29" s="1"/>
  <c r="U175" i="55" s="1"/>
  <c r="S207" i="29"/>
  <c r="U207" i="29" s="1"/>
  <c r="U207" i="55" s="1"/>
  <c r="S69" i="29"/>
  <c r="U69" i="29" s="1"/>
  <c r="U69" i="55" s="1"/>
  <c r="S196" i="29"/>
  <c r="U196" i="29" s="1"/>
  <c r="U196" i="55" s="1"/>
  <c r="S172" i="29"/>
  <c r="U172" i="29" s="1"/>
  <c r="U172" i="55" s="1"/>
  <c r="S50" i="29"/>
  <c r="U50" i="29" s="1"/>
  <c r="U50" i="55" s="1"/>
  <c r="S12" i="29"/>
  <c r="U12" i="29" s="1"/>
  <c r="U12" i="55" s="1"/>
  <c r="S42" i="29"/>
  <c r="U42" i="29" s="1"/>
  <c r="U42" i="55" s="1"/>
  <c r="S74" i="29"/>
  <c r="U74" i="29" s="1"/>
  <c r="U74" i="55" s="1"/>
  <c r="S106" i="29"/>
  <c r="U106" i="29" s="1"/>
  <c r="U106" i="55" s="1"/>
  <c r="S138" i="29"/>
  <c r="U138" i="29" s="1"/>
  <c r="U138" i="55" s="1"/>
  <c r="S169" i="29"/>
  <c r="U169" i="29" s="1"/>
  <c r="U169" i="55" s="1"/>
  <c r="S201" i="29"/>
  <c r="U201" i="29" s="1"/>
  <c r="U201" i="55" s="1"/>
  <c r="S233" i="29"/>
  <c r="U233" i="29" s="1"/>
  <c r="U233" i="55" s="1"/>
  <c r="S263" i="29"/>
  <c r="U263" i="29" s="1"/>
  <c r="U263" i="55" s="1"/>
  <c r="S294" i="29"/>
  <c r="U294" i="29" s="1"/>
  <c r="U294" i="55" s="1"/>
  <c r="S33" i="29"/>
  <c r="U33" i="29" s="1"/>
  <c r="U33" i="55" s="1"/>
  <c r="S63" i="29"/>
  <c r="U63" i="29" s="1"/>
  <c r="U63" i="55" s="1"/>
  <c r="S95" i="29"/>
  <c r="U95" i="29" s="1"/>
  <c r="U95" i="55" s="1"/>
  <c r="S127" i="29"/>
  <c r="U127" i="29" s="1"/>
  <c r="U127" i="55" s="1"/>
  <c r="S190" i="29"/>
  <c r="U190" i="29" s="1"/>
  <c r="U190" i="55" s="1"/>
  <c r="S222" i="29"/>
  <c r="U222" i="29" s="1"/>
  <c r="U222" i="55" s="1"/>
  <c r="S254" i="29"/>
  <c r="U254" i="29" s="1"/>
  <c r="U254" i="55" s="1"/>
  <c r="S284" i="29"/>
  <c r="U284" i="29" s="1"/>
  <c r="U284" i="55" s="1"/>
  <c r="S22" i="29"/>
  <c r="U22" i="29" s="1"/>
  <c r="U22" i="55" s="1"/>
  <c r="S52" i="29"/>
  <c r="U52" i="29" s="1"/>
  <c r="U52" i="55" s="1"/>
  <c r="S84" i="29"/>
  <c r="U84" i="29" s="1"/>
  <c r="U84" i="55" s="1"/>
  <c r="S116" i="29"/>
  <c r="U116" i="29" s="1"/>
  <c r="U116" i="55" s="1"/>
  <c r="S148" i="29"/>
  <c r="U148" i="29" s="1"/>
  <c r="U148" i="55" s="1"/>
  <c r="S179" i="29"/>
  <c r="U179" i="29" s="1"/>
  <c r="U179" i="55" s="1"/>
  <c r="S211" i="29"/>
  <c r="U211" i="29" s="1"/>
  <c r="U211" i="55" s="1"/>
  <c r="S243" i="29"/>
  <c r="U243" i="29" s="1"/>
  <c r="U243" i="55" s="1"/>
  <c r="S273" i="29"/>
  <c r="U273" i="29" s="1"/>
  <c r="U273" i="55" s="1"/>
  <c r="S11" i="29"/>
  <c r="U11" i="29" s="1"/>
  <c r="U11" i="55" s="1"/>
  <c r="S41" i="29"/>
  <c r="U41" i="29" s="1"/>
  <c r="U41" i="55" s="1"/>
  <c r="S73" i="29"/>
  <c r="U73" i="29" s="1"/>
  <c r="U73" i="55" s="1"/>
  <c r="S105" i="29"/>
  <c r="U105" i="29" s="1"/>
  <c r="U105" i="55" s="1"/>
  <c r="S137" i="29"/>
  <c r="U137" i="29" s="1"/>
  <c r="U137" i="55" s="1"/>
  <c r="S168" i="29"/>
  <c r="U168" i="29" s="1"/>
  <c r="U168" i="55" s="1"/>
  <c r="S200" i="29"/>
  <c r="U200" i="29" s="1"/>
  <c r="U200" i="55" s="1"/>
  <c r="S232" i="29"/>
  <c r="U232" i="29" s="1"/>
  <c r="U232" i="55" s="1"/>
  <c r="S141" i="29"/>
  <c r="U141" i="29" s="1"/>
  <c r="U141" i="55" s="1"/>
  <c r="S16" i="29"/>
  <c r="U16" i="29" s="1"/>
  <c r="U16" i="55" s="1"/>
  <c r="S46" i="29"/>
  <c r="U46" i="29" s="1"/>
  <c r="U46" i="55" s="1"/>
  <c r="S78" i="29"/>
  <c r="U78" i="29" s="1"/>
  <c r="U78" i="55" s="1"/>
  <c r="S110" i="29"/>
  <c r="U110" i="29" s="1"/>
  <c r="U110" i="55" s="1"/>
  <c r="S142" i="29"/>
  <c r="U142" i="29" s="1"/>
  <c r="U142" i="55" s="1"/>
  <c r="S173" i="29"/>
  <c r="U173" i="29" s="1"/>
  <c r="U173" i="55" s="1"/>
  <c r="S205" i="29"/>
  <c r="U205" i="29" s="1"/>
  <c r="U205" i="55" s="1"/>
  <c r="S237" i="29"/>
  <c r="U237" i="29" s="1"/>
  <c r="U237" i="55" s="1"/>
  <c r="S267" i="29"/>
  <c r="U267" i="29" s="1"/>
  <c r="U267" i="55" s="1"/>
  <c r="S298" i="29"/>
  <c r="U298" i="29" s="1"/>
  <c r="U298" i="55" s="1"/>
  <c r="S35" i="29"/>
  <c r="U35" i="29" s="1"/>
  <c r="U35" i="55" s="1"/>
  <c r="S67" i="29"/>
  <c r="U67" i="29" s="1"/>
  <c r="U67" i="55" s="1"/>
  <c r="S99" i="29"/>
  <c r="U99" i="29" s="1"/>
  <c r="U99" i="55" s="1"/>
  <c r="S131" i="29"/>
  <c r="U131" i="29" s="1"/>
  <c r="U131" i="55" s="1"/>
  <c r="S162" i="29"/>
  <c r="U162" i="29" s="1"/>
  <c r="U162" i="55" s="1"/>
  <c r="S194" i="29"/>
  <c r="U194" i="29" s="1"/>
  <c r="U194" i="55" s="1"/>
  <c r="S226" i="29"/>
  <c r="U226" i="29" s="1"/>
  <c r="U226" i="55" s="1"/>
  <c r="S258" i="29"/>
  <c r="U258" i="29" s="1"/>
  <c r="U258" i="55" s="1"/>
  <c r="S288" i="29"/>
  <c r="U288" i="29" s="1"/>
  <c r="U288" i="55" s="1"/>
  <c r="S26" i="29"/>
  <c r="U26" i="29" s="1"/>
  <c r="U26" i="55" s="1"/>
  <c r="S56" i="29"/>
  <c r="U56" i="29" s="1"/>
  <c r="U56" i="55" s="1"/>
  <c r="S88" i="29"/>
  <c r="U88" i="29" s="1"/>
  <c r="U88" i="55" s="1"/>
  <c r="S120" i="29"/>
  <c r="U120" i="29" s="1"/>
  <c r="U120" i="55" s="1"/>
  <c r="S152" i="29"/>
  <c r="U152" i="29" s="1"/>
  <c r="U152" i="55" s="1"/>
  <c r="S183" i="29"/>
  <c r="U183" i="29" s="1"/>
  <c r="U183" i="55" s="1"/>
  <c r="S215" i="29"/>
  <c r="U215" i="29" s="1"/>
  <c r="U215" i="55" s="1"/>
  <c r="S247" i="29"/>
  <c r="U247" i="29" s="1"/>
  <c r="U247" i="55" s="1"/>
  <c r="S277" i="29"/>
  <c r="U277" i="29" s="1"/>
  <c r="U277" i="55" s="1"/>
  <c r="S15" i="29"/>
  <c r="U15" i="29" s="1"/>
  <c r="U15" i="55" s="1"/>
  <c r="S236" i="29"/>
  <c r="U236" i="29" s="1"/>
  <c r="U236" i="55" s="1"/>
  <c r="S114" i="29"/>
  <c r="U114" i="29" s="1"/>
  <c r="U114" i="55" s="1"/>
  <c r="S71" i="29"/>
  <c r="U71" i="29" s="1"/>
  <c r="U71" i="55" s="1"/>
  <c r="S30" i="29"/>
  <c r="U30" i="29" s="1"/>
  <c r="U30" i="55" s="1"/>
  <c r="S281" i="29"/>
  <c r="U281" i="29" s="1"/>
  <c r="U281" i="55" s="1"/>
  <c r="S240" i="29"/>
  <c r="U240" i="29" s="1"/>
  <c r="U240" i="55" s="1"/>
  <c r="S103" i="29"/>
  <c r="U103" i="29" s="1"/>
  <c r="U103" i="55" s="1"/>
  <c r="S19" i="29"/>
  <c r="U19" i="29" s="1"/>
  <c r="U19" i="55" s="1"/>
  <c r="S135" i="29"/>
  <c r="U135" i="29" s="1"/>
  <c r="U135" i="55" s="1"/>
  <c r="S301" i="29"/>
  <c r="U301" i="29" s="1"/>
  <c r="U301" i="55" s="1"/>
  <c r="S166" i="29"/>
  <c r="U166" i="29" s="1"/>
  <c r="U166" i="55" s="1"/>
  <c r="S198" i="29"/>
  <c r="S271" i="29"/>
  <c r="U271" i="29" s="1"/>
  <c r="U271" i="55" s="1"/>
  <c r="S187" i="29"/>
  <c r="U187" i="29" s="1"/>
  <c r="U187" i="55" s="1"/>
  <c r="S262" i="29"/>
  <c r="U262" i="29" s="1"/>
  <c r="U262" i="55" s="1"/>
  <c r="S292" i="29"/>
  <c r="U292" i="29" s="1"/>
  <c r="U292" i="55" s="1"/>
  <c r="S146" i="29"/>
  <c r="U146" i="29" s="1"/>
  <c r="U146" i="55" s="1"/>
  <c r="S60" i="29"/>
  <c r="U60" i="29" s="1"/>
  <c r="U60" i="55" s="1"/>
  <c r="S270" i="29"/>
  <c r="U270" i="29" s="1"/>
  <c r="U270" i="55" s="1"/>
  <c r="S92" i="29"/>
  <c r="U92" i="29" s="1"/>
  <c r="U92" i="55" s="1"/>
  <c r="S209" i="29"/>
  <c r="U209" i="29" s="1"/>
  <c r="U209" i="55" s="1"/>
  <c r="S81" i="29"/>
  <c r="U81" i="29" s="1"/>
  <c r="U81" i="55" s="1"/>
  <c r="S156" i="29"/>
  <c r="U156" i="29" s="1"/>
  <c r="U156" i="55" s="1"/>
  <c r="S230" i="29"/>
  <c r="U230" i="29" s="1"/>
  <c r="U230" i="55" s="1"/>
  <c r="S9" i="29"/>
  <c r="U9" i="29" s="1"/>
  <c r="U9" i="55" s="1"/>
  <c r="S176" i="29"/>
  <c r="U176" i="29" s="1"/>
  <c r="U176" i="55" s="1"/>
  <c r="S251" i="29"/>
  <c r="U251" i="29" s="1"/>
  <c r="U251" i="55" s="1"/>
  <c r="S177" i="29"/>
  <c r="U177" i="29" s="1"/>
  <c r="U177" i="55" s="1"/>
  <c r="S49" i="29"/>
  <c r="U49" i="29" s="1"/>
  <c r="U49" i="55" s="1"/>
  <c r="S124" i="29"/>
  <c r="U124" i="29" s="1"/>
  <c r="U124" i="55" s="1"/>
  <c r="S241" i="29"/>
  <c r="U241" i="29" s="1"/>
  <c r="U241" i="55" s="1"/>
  <c r="S113" i="29"/>
  <c r="U113" i="29" s="1"/>
  <c r="U113" i="55" s="1"/>
  <c r="S145" i="29"/>
  <c r="U145" i="29" s="1"/>
  <c r="U145" i="55" s="1"/>
  <c r="S219" i="29"/>
  <c r="U219" i="29" s="1"/>
  <c r="U219" i="55" s="1"/>
  <c r="S39" i="29"/>
  <c r="U39" i="29" s="1"/>
  <c r="U39" i="55" s="1"/>
  <c r="S208" i="29"/>
  <c r="U208" i="29" s="1"/>
  <c r="U208" i="55" s="1"/>
  <c r="S82" i="29"/>
  <c r="U82" i="29" s="1"/>
  <c r="U82" i="55" s="1"/>
  <c r="T198" i="29" l="1"/>
  <c r="U198" i="29" s="1"/>
  <c r="U198" i="55" s="1"/>
  <c r="T297" i="29"/>
  <c r="U297" i="29" s="1"/>
  <c r="U297" i="55" s="1"/>
  <c r="U163" i="29"/>
  <c r="U163" i="55" s="1"/>
  <c r="E26" i="57" s="1"/>
  <c r="H26" i="57" s="1"/>
  <c r="E28" i="57"/>
  <c r="H28" i="57" s="1"/>
  <c r="U8" i="29"/>
  <c r="U8" i="55" s="1"/>
  <c r="U250" i="29"/>
  <c r="U33" i="45"/>
  <c r="P33" i="45" s="1"/>
  <c r="N7" i="45"/>
  <c r="N9" i="45" s="1"/>
  <c r="I10" i="45" s="1"/>
  <c r="S302" i="29"/>
  <c r="S305" i="29" s="1"/>
  <c r="U217" i="29" s="1"/>
  <c r="U217" i="55" s="1"/>
  <c r="U250" i="55" l="1"/>
  <c r="U37" i="45"/>
  <c r="T302" i="29"/>
  <c r="T3" i="29" s="1"/>
  <c r="N36" i="45" l="1"/>
  <c r="U302" i="55"/>
  <c r="U302" i="29"/>
  <c r="U3" i="29" s="1"/>
  <c r="U302" i="2" l="1"/>
  <c r="O302" i="2"/>
  <c r="P302" i="2"/>
  <c r="I302" i="2"/>
  <c r="H302" i="2"/>
  <c r="J302" i="2"/>
  <c r="G302" i="2"/>
  <c r="V302" i="2" l="1"/>
  <c r="G6" i="45" l="1"/>
  <c r="G20" i="45" l="1"/>
  <c r="L302" i="21" l="1"/>
  <c r="L6" i="21" l="1"/>
  <c r="M273" i="21" s="1"/>
  <c r="M11" i="21" l="1"/>
  <c r="M19" i="21"/>
  <c r="N19" i="21" s="1"/>
  <c r="K19" i="55" s="1"/>
  <c r="M19" i="55" s="1"/>
  <c r="M27" i="21"/>
  <c r="M41" i="21"/>
  <c r="N41" i="21" s="1"/>
  <c r="K41" i="55" s="1"/>
  <c r="M41" i="55" s="1"/>
  <c r="M49" i="21"/>
  <c r="N49" i="21" s="1"/>
  <c r="K49" i="55" s="1"/>
  <c r="M49" i="55" s="1"/>
  <c r="M57" i="21"/>
  <c r="N57" i="21" s="1"/>
  <c r="K57" i="55" s="1"/>
  <c r="M57" i="55" s="1"/>
  <c r="M65" i="21"/>
  <c r="N65" i="21" s="1"/>
  <c r="K65" i="55" s="1"/>
  <c r="M65" i="55" s="1"/>
  <c r="M73" i="21"/>
  <c r="M81" i="21"/>
  <c r="N81" i="21" s="1"/>
  <c r="K81" i="55" s="1"/>
  <c r="M81" i="55" s="1"/>
  <c r="M89" i="21"/>
  <c r="M97" i="21"/>
  <c r="N97" i="21" s="1"/>
  <c r="K97" i="55" s="1"/>
  <c r="M97" i="55" s="1"/>
  <c r="M105" i="21"/>
  <c r="N105" i="21" s="1"/>
  <c r="K105" i="55" s="1"/>
  <c r="M105" i="55" s="1"/>
  <c r="M113" i="21"/>
  <c r="N113" i="21" s="1"/>
  <c r="K113" i="55" s="1"/>
  <c r="M113" i="55" s="1"/>
  <c r="M121" i="21"/>
  <c r="N121" i="21" s="1"/>
  <c r="K121" i="55" s="1"/>
  <c r="M121" i="55" s="1"/>
  <c r="M129" i="21"/>
  <c r="N129" i="21" s="1"/>
  <c r="K129" i="55" s="1"/>
  <c r="M129" i="55" s="1"/>
  <c r="M137" i="21"/>
  <c r="M145" i="21"/>
  <c r="N145" i="21" s="1"/>
  <c r="K145" i="55" s="1"/>
  <c r="M145" i="55" s="1"/>
  <c r="M153" i="21"/>
  <c r="M160" i="21"/>
  <c r="N160" i="21" s="1"/>
  <c r="K160" i="55" s="1"/>
  <c r="M160" i="55" s="1"/>
  <c r="M168" i="21"/>
  <c r="N168" i="21" s="1"/>
  <c r="K168" i="55" s="1"/>
  <c r="M168" i="55" s="1"/>
  <c r="M176" i="21"/>
  <c r="N176" i="21" s="1"/>
  <c r="K176" i="55" s="1"/>
  <c r="M176" i="55" s="1"/>
  <c r="M184" i="21"/>
  <c r="N184" i="21" s="1"/>
  <c r="K184" i="55" s="1"/>
  <c r="M184" i="55" s="1"/>
  <c r="M192" i="21"/>
  <c r="N192" i="21" s="1"/>
  <c r="K192" i="55" s="1"/>
  <c r="M192" i="55" s="1"/>
  <c r="M200" i="21"/>
  <c r="N200" i="21" s="1"/>
  <c r="K200" i="55" s="1"/>
  <c r="M200" i="55" s="1"/>
  <c r="M208" i="21"/>
  <c r="N208" i="21" s="1"/>
  <c r="K208" i="55" s="1"/>
  <c r="M208" i="55" s="1"/>
  <c r="M216" i="21"/>
  <c r="M224" i="21"/>
  <c r="N224" i="21" s="1"/>
  <c r="K224" i="55" s="1"/>
  <c r="M224" i="55" s="1"/>
  <c r="M232" i="21"/>
  <c r="N232" i="21" s="1"/>
  <c r="K232" i="55" s="1"/>
  <c r="M232" i="55" s="1"/>
  <c r="M240" i="21"/>
  <c r="N240" i="21" s="1"/>
  <c r="K240" i="55" s="1"/>
  <c r="M240" i="55" s="1"/>
  <c r="M248" i="21"/>
  <c r="N248" i="21" s="1"/>
  <c r="K248" i="55" s="1"/>
  <c r="M248" i="55" s="1"/>
  <c r="M256" i="21"/>
  <c r="N256" i="21" s="1"/>
  <c r="K256" i="55" s="1"/>
  <c r="M256" i="55" s="1"/>
  <c r="M270" i="21"/>
  <c r="M278" i="21"/>
  <c r="M286" i="21"/>
  <c r="N286" i="21" s="1"/>
  <c r="K286" i="55" s="1"/>
  <c r="M286" i="55" s="1"/>
  <c r="M301" i="21"/>
  <c r="M213" i="21"/>
  <c r="N213" i="21" s="1"/>
  <c r="K213" i="55" s="1"/>
  <c r="M213" i="55" s="1"/>
  <c r="M253" i="21"/>
  <c r="N253" i="21" s="1"/>
  <c r="K253" i="55" s="1"/>
  <c r="M253" i="55" s="1"/>
  <c r="M291" i="21"/>
  <c r="N291" i="21" s="1"/>
  <c r="K291" i="55" s="1"/>
  <c r="M291" i="55" s="1"/>
  <c r="M12" i="21"/>
  <c r="N12" i="21" s="1"/>
  <c r="K12" i="55" s="1"/>
  <c r="M12" i="55" s="1"/>
  <c r="M20" i="21"/>
  <c r="N20" i="21" s="1"/>
  <c r="K20" i="55" s="1"/>
  <c r="M20" i="55" s="1"/>
  <c r="M28" i="21"/>
  <c r="N28" i="21" s="1"/>
  <c r="K28" i="55" s="1"/>
  <c r="M28" i="55" s="1"/>
  <c r="M42" i="21"/>
  <c r="N42" i="21" s="1"/>
  <c r="K42" i="55" s="1"/>
  <c r="M42" i="55" s="1"/>
  <c r="M50" i="21"/>
  <c r="N50" i="21" s="1"/>
  <c r="K50" i="55" s="1"/>
  <c r="M50" i="55" s="1"/>
  <c r="M58" i="21"/>
  <c r="N58" i="21" s="1"/>
  <c r="K58" i="55" s="1"/>
  <c r="M58" i="55" s="1"/>
  <c r="M66" i="21"/>
  <c r="N66" i="21" s="1"/>
  <c r="K66" i="55" s="1"/>
  <c r="M66" i="55" s="1"/>
  <c r="M74" i="21"/>
  <c r="N74" i="21" s="1"/>
  <c r="K74" i="55" s="1"/>
  <c r="M74" i="55" s="1"/>
  <c r="M82" i="21"/>
  <c r="M90" i="21"/>
  <c r="N90" i="21" s="1"/>
  <c r="K90" i="55" s="1"/>
  <c r="M90" i="55" s="1"/>
  <c r="M98" i="21"/>
  <c r="N98" i="21" s="1"/>
  <c r="K98" i="55" s="1"/>
  <c r="M98" i="55" s="1"/>
  <c r="M106" i="21"/>
  <c r="N106" i="21" s="1"/>
  <c r="K106" i="55" s="1"/>
  <c r="M106" i="55" s="1"/>
  <c r="M114" i="21"/>
  <c r="N114" i="21" s="1"/>
  <c r="K114" i="55" s="1"/>
  <c r="M114" i="55" s="1"/>
  <c r="M122" i="21"/>
  <c r="N122" i="21" s="1"/>
  <c r="K122" i="55" s="1"/>
  <c r="M122" i="55" s="1"/>
  <c r="M130" i="21"/>
  <c r="N130" i="21" s="1"/>
  <c r="K130" i="55" s="1"/>
  <c r="M130" i="55" s="1"/>
  <c r="M138" i="21"/>
  <c r="N138" i="21" s="1"/>
  <c r="K138" i="55" s="1"/>
  <c r="M138" i="55" s="1"/>
  <c r="M146" i="21"/>
  <c r="M154" i="21"/>
  <c r="N154" i="21" s="1"/>
  <c r="K154" i="55" s="1"/>
  <c r="M154" i="55" s="1"/>
  <c r="M161" i="21"/>
  <c r="N161" i="21" s="1"/>
  <c r="K161" i="55" s="1"/>
  <c r="M161" i="55" s="1"/>
  <c r="M169" i="21"/>
  <c r="N169" i="21" s="1"/>
  <c r="K169" i="55" s="1"/>
  <c r="M169" i="55" s="1"/>
  <c r="M177" i="21"/>
  <c r="N177" i="21" s="1"/>
  <c r="K177" i="55" s="1"/>
  <c r="M177" i="55" s="1"/>
  <c r="M185" i="21"/>
  <c r="N185" i="21" s="1"/>
  <c r="K185" i="55" s="1"/>
  <c r="M185" i="55" s="1"/>
  <c r="M193" i="21"/>
  <c r="N193" i="21" s="1"/>
  <c r="K193" i="55" s="1"/>
  <c r="M193" i="55" s="1"/>
  <c r="M201" i="21"/>
  <c r="N201" i="21" s="1"/>
  <c r="K201" i="55" s="1"/>
  <c r="M201" i="55" s="1"/>
  <c r="M209" i="21"/>
  <c r="M217" i="21"/>
  <c r="N217" i="21" s="1"/>
  <c r="K217" i="55" s="1"/>
  <c r="M217" i="55" s="1"/>
  <c r="M225" i="21"/>
  <c r="N225" i="21" s="1"/>
  <c r="K225" i="55" s="1"/>
  <c r="M225" i="55" s="1"/>
  <c r="M233" i="21"/>
  <c r="N233" i="21" s="1"/>
  <c r="K233" i="55" s="1"/>
  <c r="M233" i="55" s="1"/>
  <c r="M241" i="21"/>
  <c r="N241" i="21" s="1"/>
  <c r="K241" i="55" s="1"/>
  <c r="M241" i="55" s="1"/>
  <c r="M249" i="21"/>
  <c r="N249" i="21" s="1"/>
  <c r="K249" i="55" s="1"/>
  <c r="M249" i="55" s="1"/>
  <c r="M257" i="21"/>
  <c r="N257" i="21" s="1"/>
  <c r="K257" i="55" s="1"/>
  <c r="M257" i="55" s="1"/>
  <c r="M263" i="21"/>
  <c r="N263" i="21" s="1"/>
  <c r="K263" i="55" s="1"/>
  <c r="M263" i="55" s="1"/>
  <c r="M271" i="21"/>
  <c r="M279" i="21"/>
  <c r="N279" i="21" s="1"/>
  <c r="K279" i="55" s="1"/>
  <c r="M279" i="55" s="1"/>
  <c r="M287" i="21"/>
  <c r="N287" i="21" s="1"/>
  <c r="K287" i="55" s="1"/>
  <c r="M287" i="55" s="1"/>
  <c r="M294" i="21"/>
  <c r="N294" i="21" s="1"/>
  <c r="K294" i="55" s="1"/>
  <c r="M294" i="55" s="1"/>
  <c r="M8" i="21"/>
  <c r="M205" i="21"/>
  <c r="N205" i="21" s="1"/>
  <c r="K205" i="55" s="1"/>
  <c r="M205" i="55" s="1"/>
  <c r="M275" i="21"/>
  <c r="N275" i="21" s="1"/>
  <c r="K275" i="55" s="1"/>
  <c r="M275" i="55" s="1"/>
  <c r="M13" i="21"/>
  <c r="N13" i="21" s="1"/>
  <c r="K13" i="55" s="1"/>
  <c r="M13" i="55" s="1"/>
  <c r="M21" i="21"/>
  <c r="M29" i="21"/>
  <c r="N29" i="21" s="1"/>
  <c r="K29" i="55" s="1"/>
  <c r="M29" i="55" s="1"/>
  <c r="M35" i="21"/>
  <c r="N35" i="21" s="1"/>
  <c r="K35" i="55" s="1"/>
  <c r="M35" i="55" s="1"/>
  <c r="M43" i="21"/>
  <c r="N43" i="21" s="1"/>
  <c r="K43" i="55" s="1"/>
  <c r="M43" i="55" s="1"/>
  <c r="M51" i="21"/>
  <c r="N51" i="21" s="1"/>
  <c r="K51" i="55" s="1"/>
  <c r="M51" i="55" s="1"/>
  <c r="M59" i="21"/>
  <c r="N59" i="21" s="1"/>
  <c r="K59" i="55" s="1"/>
  <c r="M59" i="55" s="1"/>
  <c r="M67" i="21"/>
  <c r="N67" i="21" s="1"/>
  <c r="K67" i="55" s="1"/>
  <c r="M67" i="55" s="1"/>
  <c r="M75" i="21"/>
  <c r="N75" i="21" s="1"/>
  <c r="K75" i="55" s="1"/>
  <c r="M75" i="55" s="1"/>
  <c r="M83" i="21"/>
  <c r="M91" i="21"/>
  <c r="N91" i="21" s="1"/>
  <c r="K91" i="55" s="1"/>
  <c r="M91" i="55" s="1"/>
  <c r="M99" i="21"/>
  <c r="N99" i="21" s="1"/>
  <c r="K99" i="55" s="1"/>
  <c r="M99" i="55" s="1"/>
  <c r="M107" i="21"/>
  <c r="N107" i="21" s="1"/>
  <c r="K107" i="55" s="1"/>
  <c r="M107" i="55" s="1"/>
  <c r="M115" i="21"/>
  <c r="N115" i="21" s="1"/>
  <c r="K115" i="55" s="1"/>
  <c r="M115" i="55" s="1"/>
  <c r="M123" i="21"/>
  <c r="N123" i="21" s="1"/>
  <c r="K123" i="55" s="1"/>
  <c r="M123" i="55" s="1"/>
  <c r="M131" i="21"/>
  <c r="N131" i="21" s="1"/>
  <c r="K131" i="55" s="1"/>
  <c r="M131" i="55" s="1"/>
  <c r="M139" i="21"/>
  <c r="N139" i="21" s="1"/>
  <c r="K139" i="55" s="1"/>
  <c r="M139" i="55" s="1"/>
  <c r="M147" i="21"/>
  <c r="M155" i="21"/>
  <c r="N155" i="21" s="1"/>
  <c r="K155" i="55" s="1"/>
  <c r="M155" i="55" s="1"/>
  <c r="M162" i="21"/>
  <c r="N162" i="21" s="1"/>
  <c r="K162" i="55" s="1"/>
  <c r="M162" i="55" s="1"/>
  <c r="M170" i="21"/>
  <c r="N170" i="21" s="1"/>
  <c r="K170" i="55" s="1"/>
  <c r="M170" i="55" s="1"/>
  <c r="M178" i="21"/>
  <c r="N178" i="21" s="1"/>
  <c r="K178" i="55" s="1"/>
  <c r="M178" i="55" s="1"/>
  <c r="M186" i="21"/>
  <c r="N186" i="21" s="1"/>
  <c r="K186" i="55" s="1"/>
  <c r="M186" i="55" s="1"/>
  <c r="M194" i="21"/>
  <c r="N194" i="21" s="1"/>
  <c r="K194" i="55" s="1"/>
  <c r="M194" i="55" s="1"/>
  <c r="M202" i="21"/>
  <c r="N202" i="21" s="1"/>
  <c r="K202" i="55" s="1"/>
  <c r="M202" i="55" s="1"/>
  <c r="M210" i="21"/>
  <c r="M218" i="21"/>
  <c r="N218" i="21" s="1"/>
  <c r="K218" i="55" s="1"/>
  <c r="M218" i="55" s="1"/>
  <c r="M226" i="21"/>
  <c r="N226" i="21" s="1"/>
  <c r="K226" i="55" s="1"/>
  <c r="M226" i="55" s="1"/>
  <c r="M234" i="21"/>
  <c r="N234" i="21" s="1"/>
  <c r="K234" i="55" s="1"/>
  <c r="M234" i="55" s="1"/>
  <c r="M242" i="21"/>
  <c r="N242" i="21" s="1"/>
  <c r="K242" i="55" s="1"/>
  <c r="M242" i="55" s="1"/>
  <c r="M250" i="21"/>
  <c r="M258" i="21"/>
  <c r="N258" i="21" s="1"/>
  <c r="K258" i="55" s="1"/>
  <c r="M258" i="55" s="1"/>
  <c r="M264" i="21"/>
  <c r="N264" i="21" s="1"/>
  <c r="K264" i="55" s="1"/>
  <c r="M264" i="55" s="1"/>
  <c r="M272" i="21"/>
  <c r="M280" i="21"/>
  <c r="N280" i="21" s="1"/>
  <c r="K280" i="55" s="1"/>
  <c r="M280" i="55" s="1"/>
  <c r="M288" i="21"/>
  <c r="N288" i="21" s="1"/>
  <c r="K288" i="55" s="1"/>
  <c r="M288" i="55" s="1"/>
  <c r="M295" i="21"/>
  <c r="N295" i="21" s="1"/>
  <c r="K295" i="55" s="1"/>
  <c r="M295" i="55" s="1"/>
  <c r="M14" i="21"/>
  <c r="N14" i="21" s="1"/>
  <c r="K14" i="55" s="1"/>
  <c r="M14" i="55" s="1"/>
  <c r="M22" i="21"/>
  <c r="N22" i="21" s="1"/>
  <c r="K22" i="55" s="1"/>
  <c r="M22" i="55" s="1"/>
  <c r="M30" i="21"/>
  <c r="N30" i="21" s="1"/>
  <c r="K30" i="55" s="1"/>
  <c r="M30" i="55" s="1"/>
  <c r="M36" i="21"/>
  <c r="N36" i="21" s="1"/>
  <c r="K36" i="55" s="1"/>
  <c r="M36" i="55" s="1"/>
  <c r="M44" i="21"/>
  <c r="M52" i="21"/>
  <c r="N52" i="21" s="1"/>
  <c r="K52" i="55" s="1"/>
  <c r="M52" i="55" s="1"/>
  <c r="M60" i="21"/>
  <c r="N60" i="21" s="1"/>
  <c r="K60" i="55" s="1"/>
  <c r="M60" i="55" s="1"/>
  <c r="M68" i="21"/>
  <c r="N68" i="21" s="1"/>
  <c r="K68" i="55" s="1"/>
  <c r="M68" i="55" s="1"/>
  <c r="M76" i="21"/>
  <c r="N76" i="21" s="1"/>
  <c r="K76" i="55" s="1"/>
  <c r="M76" i="55" s="1"/>
  <c r="M84" i="21"/>
  <c r="N84" i="21" s="1"/>
  <c r="K84" i="55" s="1"/>
  <c r="M84" i="55" s="1"/>
  <c r="M92" i="21"/>
  <c r="N92" i="21" s="1"/>
  <c r="K92" i="55" s="1"/>
  <c r="M92" i="55" s="1"/>
  <c r="M100" i="21"/>
  <c r="N100" i="21" s="1"/>
  <c r="K100" i="55" s="1"/>
  <c r="M100" i="55" s="1"/>
  <c r="M108" i="21"/>
  <c r="M116" i="21"/>
  <c r="N116" i="21" s="1"/>
  <c r="K116" i="55" s="1"/>
  <c r="M124" i="21"/>
  <c r="N124" i="21" s="1"/>
  <c r="K124" i="55" s="1"/>
  <c r="M124" i="55" s="1"/>
  <c r="M132" i="21"/>
  <c r="N132" i="21" s="1"/>
  <c r="K132" i="55" s="1"/>
  <c r="M132" i="55" s="1"/>
  <c r="M140" i="21"/>
  <c r="N140" i="21" s="1"/>
  <c r="K140" i="55" s="1"/>
  <c r="M140" i="55" s="1"/>
  <c r="M148" i="21"/>
  <c r="N148" i="21" s="1"/>
  <c r="K148" i="55" s="1"/>
  <c r="M148" i="55" s="1"/>
  <c r="M156" i="21"/>
  <c r="N156" i="21" s="1"/>
  <c r="K156" i="55" s="1"/>
  <c r="M156" i="55" s="1"/>
  <c r="M163" i="21"/>
  <c r="N163" i="21" s="1"/>
  <c r="K163" i="55" s="1"/>
  <c r="M171" i="21"/>
  <c r="M179" i="21"/>
  <c r="N179" i="21" s="1"/>
  <c r="K179" i="55" s="1"/>
  <c r="M179" i="55" s="1"/>
  <c r="M187" i="21"/>
  <c r="N187" i="21" s="1"/>
  <c r="K187" i="55" s="1"/>
  <c r="M187" i="55" s="1"/>
  <c r="M195" i="21"/>
  <c r="N195" i="21" s="1"/>
  <c r="K195" i="55" s="1"/>
  <c r="M195" i="55" s="1"/>
  <c r="M203" i="21"/>
  <c r="N203" i="21" s="1"/>
  <c r="K203" i="55" s="1"/>
  <c r="M203" i="55" s="1"/>
  <c r="M211" i="21"/>
  <c r="N211" i="21" s="1"/>
  <c r="K211" i="55" s="1"/>
  <c r="M211" i="55" s="1"/>
  <c r="M219" i="21"/>
  <c r="N219" i="21" s="1"/>
  <c r="K219" i="55" s="1"/>
  <c r="M219" i="55" s="1"/>
  <c r="M227" i="21"/>
  <c r="N227" i="21" s="1"/>
  <c r="K227" i="55" s="1"/>
  <c r="M227" i="55" s="1"/>
  <c r="M235" i="21"/>
  <c r="M243" i="21"/>
  <c r="N243" i="21" s="1"/>
  <c r="K243" i="55" s="1"/>
  <c r="M243" i="55" s="1"/>
  <c r="M251" i="21"/>
  <c r="N251" i="21" s="1"/>
  <c r="K251" i="55" s="1"/>
  <c r="M251" i="55" s="1"/>
  <c r="M259" i="21"/>
  <c r="N259" i="21" s="1"/>
  <c r="K259" i="55" s="1"/>
  <c r="M259" i="55" s="1"/>
  <c r="M265" i="21"/>
  <c r="N265" i="21" s="1"/>
  <c r="K265" i="55" s="1"/>
  <c r="M265" i="55" s="1"/>
  <c r="N273" i="21"/>
  <c r="K273" i="55" s="1"/>
  <c r="M273" i="55" s="1"/>
  <c r="M281" i="21"/>
  <c r="N281" i="21" s="1"/>
  <c r="K281" i="55" s="1"/>
  <c r="M281" i="55" s="1"/>
  <c r="M289" i="21"/>
  <c r="N289" i="21" s="1"/>
  <c r="K289" i="55" s="1"/>
  <c r="M289" i="55" s="1"/>
  <c r="M296" i="21"/>
  <c r="M15" i="21"/>
  <c r="N15" i="21" s="1"/>
  <c r="K15" i="55" s="1"/>
  <c r="M15" i="55" s="1"/>
  <c r="M23" i="21"/>
  <c r="N23" i="21" s="1"/>
  <c r="K23" i="55" s="1"/>
  <c r="M23" i="55" s="1"/>
  <c r="M31" i="21"/>
  <c r="N31" i="21" s="1"/>
  <c r="K31" i="55" s="1"/>
  <c r="M31" i="55" s="1"/>
  <c r="M37" i="21"/>
  <c r="N37" i="21" s="1"/>
  <c r="K37" i="55" s="1"/>
  <c r="M37" i="55" s="1"/>
  <c r="M45" i="21"/>
  <c r="N45" i="21" s="1"/>
  <c r="K45" i="55" s="1"/>
  <c r="M45" i="55" s="1"/>
  <c r="M53" i="21"/>
  <c r="N53" i="21" s="1"/>
  <c r="K53" i="55" s="1"/>
  <c r="M53" i="55" s="1"/>
  <c r="M61" i="21"/>
  <c r="N61" i="21" s="1"/>
  <c r="K61" i="55" s="1"/>
  <c r="M61" i="55" s="1"/>
  <c r="M69" i="21"/>
  <c r="M77" i="21"/>
  <c r="N77" i="21" s="1"/>
  <c r="K77" i="55" s="1"/>
  <c r="M77" i="55" s="1"/>
  <c r="M85" i="21"/>
  <c r="N85" i="21" s="1"/>
  <c r="K85" i="55" s="1"/>
  <c r="M85" i="55" s="1"/>
  <c r="M93" i="21"/>
  <c r="N93" i="21" s="1"/>
  <c r="K93" i="55" s="1"/>
  <c r="M93" i="55" s="1"/>
  <c r="M101" i="21"/>
  <c r="N101" i="21" s="1"/>
  <c r="K101" i="55" s="1"/>
  <c r="M101" i="55" s="1"/>
  <c r="M109" i="21"/>
  <c r="N109" i="21" s="1"/>
  <c r="K109" i="55" s="1"/>
  <c r="M109" i="55" s="1"/>
  <c r="M117" i="21"/>
  <c r="N117" i="21" s="1"/>
  <c r="K117" i="55" s="1"/>
  <c r="M117" i="55" s="1"/>
  <c r="M125" i="21"/>
  <c r="N125" i="21" s="1"/>
  <c r="K125" i="55" s="1"/>
  <c r="M125" i="55" s="1"/>
  <c r="M133" i="21"/>
  <c r="N133" i="21" s="1"/>
  <c r="K133" i="55" s="1"/>
  <c r="M133" i="55" s="1"/>
  <c r="M141" i="21"/>
  <c r="N141" i="21" s="1"/>
  <c r="K141" i="55" s="1"/>
  <c r="M141" i="55" s="1"/>
  <c r="M149" i="21"/>
  <c r="N149" i="21" s="1"/>
  <c r="K149" i="55" s="1"/>
  <c r="M149" i="55" s="1"/>
  <c r="M157" i="21"/>
  <c r="N157" i="21" s="1"/>
  <c r="K157" i="55" s="1"/>
  <c r="M157" i="55" s="1"/>
  <c r="M164" i="21"/>
  <c r="N164" i="21" s="1"/>
  <c r="K164" i="55" s="1"/>
  <c r="M164" i="55" s="1"/>
  <c r="M172" i="21"/>
  <c r="N172" i="21" s="1"/>
  <c r="K172" i="55" s="1"/>
  <c r="M172" i="55" s="1"/>
  <c r="M180" i="21"/>
  <c r="N180" i="21" s="1"/>
  <c r="K180" i="55" s="1"/>
  <c r="M180" i="55" s="1"/>
  <c r="M188" i="21"/>
  <c r="N188" i="21" s="1"/>
  <c r="K188" i="55" s="1"/>
  <c r="M188" i="55" s="1"/>
  <c r="M196" i="21"/>
  <c r="N196" i="21" s="1"/>
  <c r="K196" i="55" s="1"/>
  <c r="M196" i="55" s="1"/>
  <c r="M204" i="21"/>
  <c r="N204" i="21" s="1"/>
  <c r="K204" i="55" s="1"/>
  <c r="M204" i="55" s="1"/>
  <c r="M212" i="21"/>
  <c r="N212" i="21" s="1"/>
  <c r="K212" i="55" s="1"/>
  <c r="M212" i="55" s="1"/>
  <c r="M220" i="21"/>
  <c r="N220" i="21" s="1"/>
  <c r="K220" i="55" s="1"/>
  <c r="M220" i="55" s="1"/>
  <c r="M228" i="21"/>
  <c r="N228" i="21" s="1"/>
  <c r="K228" i="55" s="1"/>
  <c r="M228" i="55" s="1"/>
  <c r="M236" i="21"/>
  <c r="N236" i="21" s="1"/>
  <c r="K236" i="55" s="1"/>
  <c r="M236" i="55" s="1"/>
  <c r="M244" i="21"/>
  <c r="N244" i="21" s="1"/>
  <c r="K244" i="55" s="1"/>
  <c r="M244" i="55" s="1"/>
  <c r="M252" i="21"/>
  <c r="N252" i="21" s="1"/>
  <c r="K252" i="55" s="1"/>
  <c r="M252" i="55" s="1"/>
  <c r="M260" i="21"/>
  <c r="M266" i="21"/>
  <c r="N266" i="21" s="1"/>
  <c r="K266" i="55" s="1"/>
  <c r="M266" i="55" s="1"/>
  <c r="M274" i="21"/>
  <c r="N274" i="21" s="1"/>
  <c r="K274" i="55" s="1"/>
  <c r="M274" i="55" s="1"/>
  <c r="M282" i="21"/>
  <c r="N282" i="21" s="1"/>
  <c r="K282" i="55" s="1"/>
  <c r="M282" i="55" s="1"/>
  <c r="M290" i="21"/>
  <c r="N290" i="21" s="1"/>
  <c r="K290" i="55" s="1"/>
  <c r="M290" i="55" s="1"/>
  <c r="M297" i="21"/>
  <c r="N297" i="21" s="1"/>
  <c r="K297" i="55" s="1"/>
  <c r="M297" i="55" s="1"/>
  <c r="M189" i="21"/>
  <c r="N189" i="21" s="1"/>
  <c r="K189" i="55" s="1"/>
  <c r="M189" i="55" s="1"/>
  <c r="M229" i="21"/>
  <c r="N229" i="21" s="1"/>
  <c r="K229" i="55" s="1"/>
  <c r="M229" i="55" s="1"/>
  <c r="M261" i="21"/>
  <c r="N261" i="21" s="1"/>
  <c r="K261" i="55" s="1"/>
  <c r="M261" i="55" s="1"/>
  <c r="M283" i="21"/>
  <c r="N283" i="21" s="1"/>
  <c r="K283" i="55" s="1"/>
  <c r="M283" i="55" s="1"/>
  <c r="M16" i="21"/>
  <c r="N16" i="21" s="1"/>
  <c r="K16" i="55" s="1"/>
  <c r="M16" i="55" s="1"/>
  <c r="M24" i="21"/>
  <c r="N24" i="21" s="1"/>
  <c r="K24" i="55" s="1"/>
  <c r="M24" i="55" s="1"/>
  <c r="M32" i="21"/>
  <c r="N32" i="21" s="1"/>
  <c r="K32" i="55" s="1"/>
  <c r="M32" i="55" s="1"/>
  <c r="M38" i="21"/>
  <c r="N38" i="21" s="1"/>
  <c r="K38" i="55" s="1"/>
  <c r="M38" i="55" s="1"/>
  <c r="M46" i="21"/>
  <c r="N46" i="21" s="1"/>
  <c r="K46" i="55" s="1"/>
  <c r="M46" i="55" s="1"/>
  <c r="M54" i="21"/>
  <c r="N54" i="21" s="1"/>
  <c r="K54" i="55" s="1"/>
  <c r="M54" i="55" s="1"/>
  <c r="M62" i="21"/>
  <c r="M70" i="21"/>
  <c r="N70" i="21" s="1"/>
  <c r="K70" i="55" s="1"/>
  <c r="M70" i="55" s="1"/>
  <c r="M78" i="21"/>
  <c r="N78" i="21" s="1"/>
  <c r="K78" i="55" s="1"/>
  <c r="M78" i="55" s="1"/>
  <c r="M86" i="21"/>
  <c r="N86" i="21" s="1"/>
  <c r="K86" i="55" s="1"/>
  <c r="M86" i="55" s="1"/>
  <c r="M94" i="21"/>
  <c r="N94" i="21" s="1"/>
  <c r="K94" i="55" s="1"/>
  <c r="M94" i="55" s="1"/>
  <c r="M102" i="21"/>
  <c r="N102" i="21" s="1"/>
  <c r="K102" i="55" s="1"/>
  <c r="M102" i="55" s="1"/>
  <c r="M110" i="21"/>
  <c r="N110" i="21" s="1"/>
  <c r="K110" i="55" s="1"/>
  <c r="M110" i="55" s="1"/>
  <c r="M118" i="21"/>
  <c r="N118" i="21" s="1"/>
  <c r="K118" i="55" s="1"/>
  <c r="M118" i="55" s="1"/>
  <c r="M126" i="21"/>
  <c r="M134" i="21"/>
  <c r="N134" i="21" s="1"/>
  <c r="K134" i="55" s="1"/>
  <c r="M134" i="55" s="1"/>
  <c r="M142" i="21"/>
  <c r="N142" i="21" s="1"/>
  <c r="K142" i="55" s="1"/>
  <c r="M142" i="55" s="1"/>
  <c r="M150" i="21"/>
  <c r="N150" i="21" s="1"/>
  <c r="K150" i="55" s="1"/>
  <c r="M150" i="55" s="1"/>
  <c r="M158" i="21"/>
  <c r="N158" i="21" s="1"/>
  <c r="K158" i="55" s="1"/>
  <c r="M158" i="55" s="1"/>
  <c r="M165" i="21"/>
  <c r="N165" i="21" s="1"/>
  <c r="K165" i="55" s="1"/>
  <c r="M165" i="55" s="1"/>
  <c r="M173" i="21"/>
  <c r="N173" i="21" s="1"/>
  <c r="K173" i="55" s="1"/>
  <c r="M173" i="55" s="1"/>
  <c r="M181" i="21"/>
  <c r="N181" i="21" s="1"/>
  <c r="K181" i="55" s="1"/>
  <c r="M181" i="55" s="1"/>
  <c r="M197" i="21"/>
  <c r="N197" i="21" s="1"/>
  <c r="K197" i="55" s="1"/>
  <c r="M197" i="55" s="1"/>
  <c r="M221" i="21"/>
  <c r="N221" i="21" s="1"/>
  <c r="K221" i="55" s="1"/>
  <c r="M221" i="55" s="1"/>
  <c r="M237" i="21"/>
  <c r="N237" i="21" s="1"/>
  <c r="K237" i="55" s="1"/>
  <c r="M237" i="55" s="1"/>
  <c r="M245" i="21"/>
  <c r="N245" i="21" s="1"/>
  <c r="K245" i="55" s="1"/>
  <c r="M245" i="55" s="1"/>
  <c r="M267" i="21"/>
  <c r="N267" i="21" s="1"/>
  <c r="K267" i="55" s="1"/>
  <c r="M267" i="55" s="1"/>
  <c r="M298" i="21"/>
  <c r="N298" i="21" s="1"/>
  <c r="K298" i="55" s="1"/>
  <c r="M298" i="55" s="1"/>
  <c r="M9" i="21"/>
  <c r="N9" i="21" s="1"/>
  <c r="K9" i="55" s="1"/>
  <c r="M9" i="55" s="1"/>
  <c r="M17" i="21"/>
  <c r="N17" i="21" s="1"/>
  <c r="K17" i="55" s="1"/>
  <c r="M17" i="55" s="1"/>
  <c r="M25" i="21"/>
  <c r="N25" i="21" s="1"/>
  <c r="K25" i="55" s="1"/>
  <c r="M25" i="55" s="1"/>
  <c r="M33" i="21"/>
  <c r="N33" i="21" s="1"/>
  <c r="K33" i="55" s="1"/>
  <c r="M33" i="55" s="1"/>
  <c r="M39" i="21"/>
  <c r="N39" i="21" s="1"/>
  <c r="K39" i="55" s="1"/>
  <c r="M39" i="55" s="1"/>
  <c r="M47" i="21"/>
  <c r="N47" i="21" s="1"/>
  <c r="K47" i="55" s="1"/>
  <c r="M47" i="55" s="1"/>
  <c r="M55" i="21"/>
  <c r="N55" i="21" s="1"/>
  <c r="K55" i="55" s="1"/>
  <c r="M55" i="55" s="1"/>
  <c r="M63" i="21"/>
  <c r="N63" i="21" s="1"/>
  <c r="K63" i="55" s="1"/>
  <c r="M63" i="55" s="1"/>
  <c r="M71" i="21"/>
  <c r="N71" i="21" s="1"/>
  <c r="K71" i="55" s="1"/>
  <c r="M71" i="55" s="1"/>
  <c r="M79" i="21"/>
  <c r="N79" i="21" s="1"/>
  <c r="K79" i="55" s="1"/>
  <c r="M79" i="55" s="1"/>
  <c r="M87" i="21"/>
  <c r="N87" i="21" s="1"/>
  <c r="K87" i="55" s="1"/>
  <c r="M87" i="55" s="1"/>
  <c r="M95" i="21"/>
  <c r="N95" i="21" s="1"/>
  <c r="K95" i="55" s="1"/>
  <c r="M95" i="55" s="1"/>
  <c r="M103" i="21"/>
  <c r="N103" i="21" s="1"/>
  <c r="K103" i="55" s="1"/>
  <c r="M103" i="55" s="1"/>
  <c r="M111" i="21"/>
  <c r="M119" i="21"/>
  <c r="N119" i="21" s="1"/>
  <c r="K119" i="55" s="1"/>
  <c r="M119" i="55" s="1"/>
  <c r="M127" i="21"/>
  <c r="N127" i="21" s="1"/>
  <c r="K127" i="55" s="1"/>
  <c r="M127" i="55" s="1"/>
  <c r="M135" i="21"/>
  <c r="N135" i="21" s="1"/>
  <c r="K135" i="55" s="1"/>
  <c r="M135" i="55" s="1"/>
  <c r="M143" i="21"/>
  <c r="N143" i="21" s="1"/>
  <c r="K143" i="55" s="1"/>
  <c r="M143" i="55" s="1"/>
  <c r="M151" i="21"/>
  <c r="N151" i="21" s="1"/>
  <c r="K151" i="55" s="1"/>
  <c r="M151" i="55" s="1"/>
  <c r="M166" i="21"/>
  <c r="N166" i="21" s="1"/>
  <c r="K166" i="55" s="1"/>
  <c r="M166" i="55" s="1"/>
  <c r="M174" i="21"/>
  <c r="N174" i="21" s="1"/>
  <c r="K174" i="55" s="1"/>
  <c r="M174" i="55" s="1"/>
  <c r="M182" i="21"/>
  <c r="N182" i="21" s="1"/>
  <c r="K182" i="55" s="1"/>
  <c r="M182" i="55" s="1"/>
  <c r="M190" i="21"/>
  <c r="N190" i="21" s="1"/>
  <c r="K190" i="55" s="1"/>
  <c r="M190" i="55" s="1"/>
  <c r="M198" i="21"/>
  <c r="N198" i="21" s="1"/>
  <c r="K198" i="55" s="1"/>
  <c r="M198" i="55" s="1"/>
  <c r="M206" i="21"/>
  <c r="N206" i="21" s="1"/>
  <c r="K206" i="55" s="1"/>
  <c r="M206" i="55" s="1"/>
  <c r="M214" i="21"/>
  <c r="N214" i="21" s="1"/>
  <c r="K214" i="55" s="1"/>
  <c r="M214" i="55" s="1"/>
  <c r="M222" i="21"/>
  <c r="N222" i="21" s="1"/>
  <c r="K222" i="55" s="1"/>
  <c r="M222" i="55" s="1"/>
  <c r="M230" i="21"/>
  <c r="N230" i="21" s="1"/>
  <c r="K230" i="55" s="1"/>
  <c r="M230" i="55" s="1"/>
  <c r="M238" i="21"/>
  <c r="N238" i="21" s="1"/>
  <c r="K238" i="55" s="1"/>
  <c r="M238" i="55" s="1"/>
  <c r="M246" i="21"/>
  <c r="N246" i="21" s="1"/>
  <c r="K246" i="55" s="1"/>
  <c r="M246" i="55" s="1"/>
  <c r="M254" i="21"/>
  <c r="N254" i="21" s="1"/>
  <c r="K254" i="55" s="1"/>
  <c r="M254" i="55" s="1"/>
  <c r="M262" i="21"/>
  <c r="N262" i="21" s="1"/>
  <c r="K262" i="55" s="1"/>
  <c r="M262" i="55" s="1"/>
  <c r="M268" i="21"/>
  <c r="N268" i="21" s="1"/>
  <c r="K268" i="55" s="1"/>
  <c r="M268" i="55" s="1"/>
  <c r="M276" i="21"/>
  <c r="N276" i="21" s="1"/>
  <c r="K276" i="55" s="1"/>
  <c r="M276" i="55" s="1"/>
  <c r="M284" i="21"/>
  <c r="N284" i="21" s="1"/>
  <c r="K284" i="55" s="1"/>
  <c r="M284" i="55" s="1"/>
  <c r="M292" i="21"/>
  <c r="N292" i="21" s="1"/>
  <c r="K292" i="55" s="1"/>
  <c r="M292" i="55" s="1"/>
  <c r="M299" i="21"/>
  <c r="N299" i="21" s="1"/>
  <c r="K299" i="55" s="1"/>
  <c r="M299" i="55" s="1"/>
  <c r="M64" i="21"/>
  <c r="N64" i="21" s="1"/>
  <c r="K64" i="55" s="1"/>
  <c r="M64" i="55" s="1"/>
  <c r="M128" i="21"/>
  <c r="N128" i="21" s="1"/>
  <c r="K128" i="55" s="1"/>
  <c r="M128" i="55" s="1"/>
  <c r="M191" i="21"/>
  <c r="N191" i="21" s="1"/>
  <c r="K191" i="55" s="1"/>
  <c r="M191" i="55" s="1"/>
  <c r="M255" i="21"/>
  <c r="N255" i="21" s="1"/>
  <c r="K255" i="55" s="1"/>
  <c r="M255" i="55" s="1"/>
  <c r="M72" i="21"/>
  <c r="N72" i="21" s="1"/>
  <c r="K72" i="55" s="1"/>
  <c r="M72" i="55" s="1"/>
  <c r="M136" i="21"/>
  <c r="N136" i="21" s="1"/>
  <c r="K136" i="55" s="1"/>
  <c r="M136" i="55" s="1"/>
  <c r="M152" i="21"/>
  <c r="N152" i="21" s="1"/>
  <c r="K152" i="55" s="1"/>
  <c r="M152" i="55" s="1"/>
  <c r="M277" i="21"/>
  <c r="N277" i="21" s="1"/>
  <c r="K277" i="55" s="1"/>
  <c r="M277" i="55" s="1"/>
  <c r="M223" i="21"/>
  <c r="N223" i="21" s="1"/>
  <c r="K223" i="55" s="1"/>
  <c r="M223" i="55" s="1"/>
  <c r="M40" i="21"/>
  <c r="N40" i="21" s="1"/>
  <c r="K40" i="55" s="1"/>
  <c r="M40" i="55" s="1"/>
  <c r="M231" i="21"/>
  <c r="N231" i="21" s="1"/>
  <c r="K231" i="55" s="1"/>
  <c r="M231" i="55" s="1"/>
  <c r="M239" i="21"/>
  <c r="N239" i="21" s="1"/>
  <c r="K239" i="55" s="1"/>
  <c r="M239" i="55" s="1"/>
  <c r="M120" i="21"/>
  <c r="N120" i="21" s="1"/>
  <c r="K120" i="55" s="1"/>
  <c r="M120" i="55" s="1"/>
  <c r="M183" i="21"/>
  <c r="N183" i="21" s="1"/>
  <c r="K183" i="55" s="1"/>
  <c r="M183" i="55" s="1"/>
  <c r="M10" i="21"/>
  <c r="N10" i="21" s="1"/>
  <c r="K10" i="55" s="1"/>
  <c r="M10" i="55" s="1"/>
  <c r="M199" i="21"/>
  <c r="N199" i="21" s="1"/>
  <c r="K199" i="55" s="1"/>
  <c r="M199" i="55" s="1"/>
  <c r="M34" i="21"/>
  <c r="N34" i="21" s="1"/>
  <c r="K34" i="55" s="1"/>
  <c r="M34" i="55" s="1"/>
  <c r="M285" i="21"/>
  <c r="N285" i="21" s="1"/>
  <c r="K285" i="55" s="1"/>
  <c r="M285" i="55" s="1"/>
  <c r="M104" i="21"/>
  <c r="N104" i="21" s="1"/>
  <c r="K104" i="55" s="1"/>
  <c r="M104" i="55" s="1"/>
  <c r="M112" i="21"/>
  <c r="M18" i="21"/>
  <c r="N18" i="21" s="1"/>
  <c r="K18" i="55" s="1"/>
  <c r="M18" i="55" s="1"/>
  <c r="M80" i="21"/>
  <c r="N80" i="21" s="1"/>
  <c r="K80" i="55" s="1"/>
  <c r="M80" i="55" s="1"/>
  <c r="M144" i="21"/>
  <c r="N144" i="21" s="1"/>
  <c r="K144" i="55" s="1"/>
  <c r="M144" i="55" s="1"/>
  <c r="M207" i="21"/>
  <c r="N207" i="21" s="1"/>
  <c r="K207" i="55" s="1"/>
  <c r="M207" i="55" s="1"/>
  <c r="M269" i="21"/>
  <c r="N269" i="21" s="1"/>
  <c r="K269" i="55" s="1"/>
  <c r="M269" i="55" s="1"/>
  <c r="M26" i="21"/>
  <c r="N26" i="21" s="1"/>
  <c r="K26" i="55" s="1"/>
  <c r="M26" i="55" s="1"/>
  <c r="M215" i="21"/>
  <c r="N215" i="21" s="1"/>
  <c r="K215" i="55" s="1"/>
  <c r="M215" i="55" s="1"/>
  <c r="M159" i="21"/>
  <c r="N159" i="21" s="1"/>
  <c r="K159" i="55" s="1"/>
  <c r="M159" i="55" s="1"/>
  <c r="M167" i="21"/>
  <c r="N167" i="21" s="1"/>
  <c r="K167" i="55" s="1"/>
  <c r="M167" i="55" s="1"/>
  <c r="M48" i="21"/>
  <c r="N48" i="21" s="1"/>
  <c r="K48" i="55" s="1"/>
  <c r="M48" i="55" s="1"/>
  <c r="M300" i="21"/>
  <c r="N300" i="21" s="1"/>
  <c r="K300" i="55" s="1"/>
  <c r="M300" i="55" s="1"/>
  <c r="M247" i="21"/>
  <c r="N247" i="21" s="1"/>
  <c r="K247" i="55" s="1"/>
  <c r="M247" i="55" s="1"/>
  <c r="M88" i="21"/>
  <c r="N88" i="21" s="1"/>
  <c r="K88" i="55" s="1"/>
  <c r="M88" i="55" s="1"/>
  <c r="M96" i="21"/>
  <c r="N96" i="21" s="1"/>
  <c r="K96" i="55" s="1"/>
  <c r="M96" i="55" s="1"/>
  <c r="M293" i="21"/>
  <c r="N293" i="21" s="1"/>
  <c r="K293" i="55" s="1"/>
  <c r="M293" i="55" s="1"/>
  <c r="M175" i="21"/>
  <c r="N175" i="21" s="1"/>
  <c r="K175" i="55" s="1"/>
  <c r="M175" i="55" s="1"/>
  <c r="M56" i="21"/>
  <c r="N56" i="21" s="1"/>
  <c r="K56" i="55" s="1"/>
  <c r="M56" i="55" s="1"/>
  <c r="N69" i="21"/>
  <c r="K69" i="55" s="1"/>
  <c r="M69" i="55" s="1"/>
  <c r="N21" i="21"/>
  <c r="K21" i="55" s="1"/>
  <c r="M21" i="55" s="1"/>
  <c r="N271" i="21"/>
  <c r="K271" i="55" s="1"/>
  <c r="M271" i="55" s="1"/>
  <c r="N260" i="21"/>
  <c r="K260" i="55" s="1"/>
  <c r="M260" i="55" s="1"/>
  <c r="N210" i="21"/>
  <c r="K210" i="55" s="1"/>
  <c r="M210" i="55" s="1"/>
  <c r="N11" i="21"/>
  <c r="K11" i="55" s="1"/>
  <c r="M11" i="55" s="1"/>
  <c r="N278" i="21"/>
  <c r="K278" i="55" s="1"/>
  <c r="M278" i="55" s="1"/>
  <c r="N27" i="21"/>
  <c r="K27" i="55" s="1"/>
  <c r="M27" i="55" s="1"/>
  <c r="N62" i="21"/>
  <c r="K62" i="55" s="1"/>
  <c r="M62" i="55" s="1"/>
  <c r="N272" i="21"/>
  <c r="K272" i="55" s="1"/>
  <c r="M272" i="55" s="1"/>
  <c r="N209" i="21"/>
  <c r="K209" i="55" s="1"/>
  <c r="M209" i="55" s="1"/>
  <c r="N216" i="21"/>
  <c r="K216" i="55" s="1"/>
  <c r="M216" i="55" s="1"/>
  <c r="N153" i="21"/>
  <c r="K153" i="55" s="1"/>
  <c r="M153" i="55" s="1"/>
  <c r="N108" i="21"/>
  <c r="K108" i="55" s="1"/>
  <c r="M108" i="55" s="1"/>
  <c r="N171" i="21"/>
  <c r="K171" i="55" s="1"/>
  <c r="M171" i="55" s="1"/>
  <c r="N83" i="21"/>
  <c r="K83" i="55" s="1"/>
  <c r="M83" i="55" s="1"/>
  <c r="N146" i="21"/>
  <c r="K146" i="55" s="1"/>
  <c r="M146" i="55" s="1"/>
  <c r="N44" i="21"/>
  <c r="K44" i="55" s="1"/>
  <c r="M44" i="55" s="1"/>
  <c r="N82" i="21"/>
  <c r="K82" i="55" s="1"/>
  <c r="M82" i="55" s="1"/>
  <c r="N126" i="21"/>
  <c r="K126" i="55" s="1"/>
  <c r="M126" i="55" s="1"/>
  <c r="N296" i="21"/>
  <c r="K296" i="55" s="1"/>
  <c r="M296" i="55" s="1"/>
  <c r="N73" i="21"/>
  <c r="K73" i="55" s="1"/>
  <c r="M73" i="55" s="1"/>
  <c r="N89" i="21"/>
  <c r="K89" i="55" s="1"/>
  <c r="M89" i="55" s="1"/>
  <c r="N137" i="21"/>
  <c r="K137" i="55" s="1"/>
  <c r="M137" i="55" s="1"/>
  <c r="N147" i="21"/>
  <c r="K147" i="55" s="1"/>
  <c r="M147" i="55" s="1"/>
  <c r="N270" i="21"/>
  <c r="K270" i="55" s="1"/>
  <c r="M270" i="55" s="1"/>
  <c r="N235" i="21"/>
  <c r="K235" i="55" s="1"/>
  <c r="M235" i="55" s="1"/>
  <c r="M163" i="55" l="1"/>
  <c r="M116" i="55"/>
  <c r="N250" i="21"/>
  <c r="K250" i="55" s="1"/>
  <c r="M250" i="55" s="1"/>
  <c r="K36" i="45" s="1"/>
  <c r="U16" i="45"/>
  <c r="U18" i="45" s="1"/>
  <c r="N111" i="21"/>
  <c r="K111" i="55" s="1"/>
  <c r="M111" i="55" s="1"/>
  <c r="N112" i="21"/>
  <c r="K112" i="55" s="1"/>
  <c r="M112" i="55" s="1"/>
  <c r="N301" i="21"/>
  <c r="K301" i="55" s="1"/>
  <c r="M301" i="55" s="1"/>
  <c r="E15" i="57" l="1"/>
  <c r="H15" i="57" s="1"/>
  <c r="E16" i="57"/>
  <c r="H16" i="57" s="1"/>
  <c r="P18" i="45"/>
  <c r="N302" i="9" l="1"/>
  <c r="Q302" i="3" l="1"/>
  <c r="V302" i="53"/>
  <c r="R302" i="3" l="1"/>
  <c r="R6" i="3" l="1"/>
  <c r="S8" i="3"/>
  <c r="S27" i="3"/>
  <c r="T27" i="3" s="1"/>
  <c r="S42" i="3"/>
  <c r="T42" i="3" s="1"/>
  <c r="S299" i="3"/>
  <c r="T299" i="3" s="1"/>
  <c r="S65" i="3"/>
  <c r="T65" i="3" s="1"/>
  <c r="S63" i="3"/>
  <c r="T63" i="3" s="1"/>
  <c r="S62" i="3"/>
  <c r="T62" i="3" s="1"/>
  <c r="S105" i="3"/>
  <c r="T105" i="3" s="1"/>
  <c r="S221" i="3"/>
  <c r="T221" i="3" s="1"/>
  <c r="S30" i="3"/>
  <c r="T30" i="3" s="1"/>
  <c r="S150" i="3"/>
  <c r="T150" i="3" s="1"/>
  <c r="S220" i="3"/>
  <c r="T220" i="3" s="1"/>
  <c r="S137" i="3"/>
  <c r="T137" i="3" s="1"/>
  <c r="S298" i="3"/>
  <c r="T298" i="3" s="1"/>
  <c r="S206" i="3"/>
  <c r="T206" i="3" s="1"/>
  <c r="S296" i="3"/>
  <c r="T296" i="3" s="1"/>
  <c r="S271" i="3"/>
  <c r="T271" i="3" s="1"/>
  <c r="S300" i="3"/>
  <c r="T300" i="3" s="1"/>
  <c r="S88" i="3"/>
  <c r="T88" i="3" s="1"/>
  <c r="S85" i="3"/>
  <c r="T85" i="3" s="1"/>
  <c r="S228" i="3"/>
  <c r="T228" i="3" s="1"/>
  <c r="S212" i="3"/>
  <c r="T212" i="3" s="1"/>
  <c r="S12" i="3"/>
  <c r="T12" i="3" s="1"/>
  <c r="S66" i="3"/>
  <c r="T66" i="3" s="1"/>
  <c r="S75" i="3"/>
  <c r="T75" i="3" s="1"/>
  <c r="S10" i="3"/>
  <c r="T10" i="3" s="1"/>
  <c r="S86" i="3"/>
  <c r="T86" i="3" s="1"/>
  <c r="S107" i="3"/>
  <c r="T107" i="3" s="1"/>
  <c r="S168" i="3"/>
  <c r="T168" i="3" s="1"/>
  <c r="S41" i="3"/>
  <c r="T41" i="3" s="1"/>
  <c r="S273" i="3"/>
  <c r="T273" i="3" s="1"/>
  <c r="S103" i="3"/>
  <c r="T103" i="3" s="1"/>
  <c r="S49" i="3"/>
  <c r="T49" i="3" s="1"/>
  <c r="S242" i="3"/>
  <c r="T242" i="3" s="1"/>
  <c r="S146" i="3"/>
  <c r="T146" i="3" s="1"/>
  <c r="S179" i="3"/>
  <c r="T179" i="3" s="1"/>
  <c r="S13" i="3"/>
  <c r="T13" i="3" s="1"/>
  <c r="S223" i="3"/>
  <c r="T223" i="3" s="1"/>
  <c r="S197" i="3"/>
  <c r="T197" i="3" s="1"/>
  <c r="S152" i="3"/>
  <c r="T152" i="3" s="1"/>
  <c r="S68" i="3"/>
  <c r="T68" i="3" s="1"/>
  <c r="S91" i="3"/>
  <c r="T91" i="3" s="1"/>
  <c r="S159" i="3"/>
  <c r="T159" i="3" s="1"/>
  <c r="S265" i="3"/>
  <c r="T265" i="3" s="1"/>
  <c r="S281" i="3"/>
  <c r="T281" i="3" s="1"/>
  <c r="S166" i="3"/>
  <c r="T166" i="3" s="1"/>
  <c r="S175" i="3"/>
  <c r="T175" i="3" s="1"/>
  <c r="S214" i="3"/>
  <c r="T214" i="3" s="1"/>
  <c r="S282" i="3"/>
  <c r="T282" i="3" s="1"/>
  <c r="S190" i="3"/>
  <c r="T190" i="3" s="1"/>
  <c r="S20" i="3"/>
  <c r="T20" i="3" s="1"/>
  <c r="S99" i="3"/>
  <c r="T99" i="3" s="1"/>
  <c r="S198" i="3"/>
  <c r="T198" i="3" s="1"/>
  <c r="S43" i="3"/>
  <c r="T43" i="3" s="1"/>
  <c r="S131" i="3"/>
  <c r="T131" i="3" s="1"/>
  <c r="S89" i="3"/>
  <c r="T89" i="3" s="1"/>
  <c r="S154" i="3"/>
  <c r="T154" i="3" s="1"/>
  <c r="S232" i="3"/>
  <c r="T232" i="3" s="1"/>
  <c r="S187" i="3"/>
  <c r="T187" i="3" s="1"/>
  <c r="S249" i="3"/>
  <c r="T249" i="3" s="1"/>
  <c r="S239" i="3"/>
  <c r="T239" i="3" s="1"/>
  <c r="S183" i="3"/>
  <c r="T183" i="3" s="1"/>
  <c r="S134" i="3"/>
  <c r="T134" i="3" s="1"/>
  <c r="S201" i="3"/>
  <c r="T201" i="3" s="1"/>
  <c r="S245" i="3"/>
  <c r="T245" i="3" s="1"/>
  <c r="S79" i="3"/>
  <c r="T79" i="3" s="1"/>
  <c r="S156" i="3"/>
  <c r="T156" i="3" s="1"/>
  <c r="S248" i="3"/>
  <c r="T248" i="3" s="1"/>
  <c r="S145" i="3"/>
  <c r="T145" i="3" s="1"/>
  <c r="S218" i="3"/>
  <c r="T218" i="3" s="1"/>
  <c r="S128" i="3"/>
  <c r="T128" i="3" s="1"/>
  <c r="S188" i="3"/>
  <c r="T188" i="3" s="1"/>
  <c r="S17" i="3"/>
  <c r="T17" i="3" s="1"/>
  <c r="S38" i="3"/>
  <c r="T38" i="3" s="1"/>
  <c r="S50" i="3"/>
  <c r="T50" i="3" s="1"/>
  <c r="S82" i="3"/>
  <c r="T82" i="3" s="1"/>
  <c r="S92" i="3"/>
  <c r="T92" i="3" s="1"/>
  <c r="S260" i="3"/>
  <c r="T260" i="3" s="1"/>
  <c r="S148" i="3"/>
  <c r="T148" i="3" s="1"/>
  <c r="S9" i="3"/>
  <c r="T9" i="3" s="1"/>
  <c r="S39" i="3"/>
  <c r="T39" i="3" s="1"/>
  <c r="S205" i="3"/>
  <c r="T205" i="3" s="1"/>
  <c r="S33" i="3"/>
  <c r="T33" i="3" s="1"/>
  <c r="S234" i="3"/>
  <c r="T234" i="3" s="1"/>
  <c r="S270" i="3"/>
  <c r="T270" i="3" s="1"/>
  <c r="S266" i="3"/>
  <c r="T266" i="3" s="1"/>
  <c r="S222" i="3"/>
  <c r="T222" i="3" s="1"/>
  <c r="S293" i="3"/>
  <c r="T293" i="3" s="1"/>
  <c r="S23" i="3"/>
  <c r="T23" i="3" s="1"/>
  <c r="S98" i="3"/>
  <c r="T98" i="3" s="1"/>
  <c r="S297" i="3"/>
  <c r="T297" i="3" s="1"/>
  <c r="S115" i="3"/>
  <c r="T115" i="3" s="1"/>
  <c r="S244" i="3"/>
  <c r="T244" i="3" s="1"/>
  <c r="S74" i="3"/>
  <c r="T74" i="3" s="1"/>
  <c r="S195" i="3"/>
  <c r="T195" i="3" s="1"/>
  <c r="S81" i="3"/>
  <c r="T81" i="3" s="1"/>
  <c r="S56" i="3"/>
  <c r="T56" i="3" s="1"/>
  <c r="S108" i="3"/>
  <c r="T108" i="3" s="1"/>
  <c r="S34" i="3"/>
  <c r="T34" i="3" s="1"/>
  <c r="S16" i="3"/>
  <c r="T16" i="3" s="1"/>
  <c r="S176" i="3"/>
  <c r="T176" i="3" s="1"/>
  <c r="S144" i="3"/>
  <c r="T144" i="3" s="1"/>
  <c r="S291" i="3"/>
  <c r="T291" i="3" s="1"/>
  <c r="S209" i="3"/>
  <c r="T209" i="3" s="1"/>
  <c r="S93" i="3"/>
  <c r="T93" i="3" s="1"/>
  <c r="S274" i="3"/>
  <c r="T274" i="3" s="1"/>
  <c r="S67" i="3"/>
  <c r="T67" i="3" s="1"/>
  <c r="S208" i="3"/>
  <c r="T208" i="3" s="1"/>
  <c r="S258" i="3"/>
  <c r="T258" i="3" s="1"/>
  <c r="S256" i="3"/>
  <c r="T256" i="3" s="1"/>
  <c r="S94" i="3"/>
  <c r="T94" i="3" s="1"/>
  <c r="S230" i="3"/>
  <c r="T230" i="3" s="1"/>
  <c r="S286" i="3"/>
  <c r="T286" i="3" s="1"/>
  <c r="S191" i="3"/>
  <c r="T191" i="3" s="1"/>
  <c r="S37" i="3"/>
  <c r="T37" i="3" s="1"/>
  <c r="S181" i="3"/>
  <c r="T181" i="3" s="1"/>
  <c r="S211" i="3"/>
  <c r="T211" i="3" s="1"/>
  <c r="S158" i="3"/>
  <c r="T158" i="3" s="1"/>
  <c r="S143" i="3"/>
  <c r="T143" i="3" s="1"/>
  <c r="S157" i="3"/>
  <c r="T157" i="3" s="1"/>
  <c r="S135" i="3"/>
  <c r="T135" i="3" s="1"/>
  <c r="S192" i="3"/>
  <c r="T192" i="3" s="1"/>
  <c r="S199" i="3"/>
  <c r="T199" i="3" s="1"/>
  <c r="S186" i="3"/>
  <c r="T186" i="3" s="1"/>
  <c r="S142" i="3"/>
  <c r="T142" i="3" s="1"/>
  <c r="S133" i="3"/>
  <c r="T133" i="3" s="1"/>
  <c r="S113" i="3"/>
  <c r="T113" i="3" s="1"/>
  <c r="S238" i="3"/>
  <c r="T238" i="3" s="1"/>
  <c r="S15" i="3"/>
  <c r="T15" i="3" s="1"/>
  <c r="S155" i="3"/>
  <c r="T155" i="3" s="1"/>
  <c r="S151" i="3"/>
  <c r="T151" i="3" s="1"/>
  <c r="S132" i="3"/>
  <c r="T132" i="3" s="1"/>
  <c r="S162" i="3"/>
  <c r="T162" i="3" s="1"/>
  <c r="S126" i="3"/>
  <c r="T126" i="3" s="1"/>
  <c r="S130" i="3"/>
  <c r="T130" i="3" s="1"/>
  <c r="S19" i="3"/>
  <c r="T19" i="3" s="1"/>
  <c r="S139" i="3"/>
  <c r="T139" i="3" s="1"/>
  <c r="S170" i="3"/>
  <c r="T170" i="3" s="1"/>
  <c r="S11" i="3"/>
  <c r="T11" i="3" s="1"/>
  <c r="S164" i="3"/>
  <c r="T164" i="3" s="1"/>
  <c r="S28" i="3"/>
  <c r="T28" i="3" s="1"/>
  <c r="S161" i="3"/>
  <c r="T161" i="3" s="1"/>
  <c r="S84" i="3"/>
  <c r="T84" i="3" s="1"/>
  <c r="S80" i="3"/>
  <c r="T80" i="3" s="1"/>
  <c r="S57" i="3"/>
  <c r="T57" i="3" s="1"/>
  <c r="S264" i="3"/>
  <c r="T264" i="3" s="1"/>
  <c r="S241" i="3"/>
  <c r="T241" i="3" s="1"/>
  <c r="S287" i="3"/>
  <c r="T287" i="3" s="1"/>
  <c r="S35" i="3"/>
  <c r="T35" i="3" s="1"/>
  <c r="S118" i="3"/>
  <c r="T118" i="3" s="1"/>
  <c r="S289" i="3"/>
  <c r="T289" i="3" s="1"/>
  <c r="S153" i="3"/>
  <c r="T153" i="3" s="1"/>
  <c r="S275" i="3"/>
  <c r="T275" i="3" s="1"/>
  <c r="S47" i="3"/>
  <c r="T47" i="3" s="1"/>
  <c r="S247" i="3"/>
  <c r="T247" i="3" s="1"/>
  <c r="S116" i="3"/>
  <c r="T116" i="3" s="1"/>
  <c r="S290" i="3"/>
  <c r="T290" i="3" s="1"/>
  <c r="S122" i="3"/>
  <c r="T122" i="3" s="1"/>
  <c r="S36" i="3"/>
  <c r="T36" i="3" s="1"/>
  <c r="S111" i="3"/>
  <c r="T111" i="3" s="1"/>
  <c r="S202" i="3"/>
  <c r="T202" i="3" s="1"/>
  <c r="S48" i="3"/>
  <c r="T48" i="3" s="1"/>
  <c r="S219" i="3"/>
  <c r="T219" i="3" s="1"/>
  <c r="S243" i="3"/>
  <c r="T243" i="3" s="1"/>
  <c r="S257" i="3"/>
  <c r="T257" i="3" s="1"/>
  <c r="S87" i="3"/>
  <c r="T87" i="3" s="1"/>
  <c r="S96" i="3"/>
  <c r="T96" i="3" s="1"/>
  <c r="S207" i="3"/>
  <c r="T207" i="3" s="1"/>
  <c r="S250" i="3"/>
  <c r="S109" i="3"/>
  <c r="T109" i="3" s="1"/>
  <c r="S252" i="3"/>
  <c r="T252" i="3" s="1"/>
  <c r="S295" i="3"/>
  <c r="T295" i="3" s="1"/>
  <c r="S262" i="3"/>
  <c r="T262" i="3" s="1"/>
  <c r="S169" i="3"/>
  <c r="T169" i="3" s="1"/>
  <c r="S292" i="3"/>
  <c r="T292" i="3" s="1"/>
  <c r="S76" i="3"/>
  <c r="T76" i="3" s="1"/>
  <c r="S95" i="3"/>
  <c r="T95" i="3" s="1"/>
  <c r="S18" i="3"/>
  <c r="T18" i="3" s="1"/>
  <c r="S261" i="3"/>
  <c r="T261" i="3" s="1"/>
  <c r="S269" i="3"/>
  <c r="T269" i="3" s="1"/>
  <c r="S114" i="3"/>
  <c r="T114" i="3" s="1"/>
  <c r="S22" i="3"/>
  <c r="T22" i="3" s="1"/>
  <c r="S106" i="3"/>
  <c r="T106" i="3" s="1"/>
  <c r="S182" i="3"/>
  <c r="T182" i="3" s="1"/>
  <c r="S280" i="3"/>
  <c r="T280" i="3" s="1"/>
  <c r="S240" i="3"/>
  <c r="T240" i="3" s="1"/>
  <c r="S97" i="3"/>
  <c r="T97" i="3" s="1"/>
  <c r="S171" i="3"/>
  <c r="T171" i="3" s="1"/>
  <c r="S284" i="3"/>
  <c r="T284" i="3" s="1"/>
  <c r="S70" i="3"/>
  <c r="T70" i="3" s="1"/>
  <c r="S100" i="3"/>
  <c r="T100" i="3" s="1"/>
  <c r="S45" i="3"/>
  <c r="T45" i="3" s="1"/>
  <c r="S127" i="3"/>
  <c r="T127" i="3" s="1"/>
  <c r="S229" i="3"/>
  <c r="T229" i="3" s="1"/>
  <c r="S78" i="3"/>
  <c r="T78" i="3" s="1"/>
  <c r="S231" i="3"/>
  <c r="T231" i="3" s="1"/>
  <c r="S125" i="3"/>
  <c r="T125" i="3" s="1"/>
  <c r="S124" i="3"/>
  <c r="T124" i="3" s="1"/>
  <c r="S267" i="3"/>
  <c r="T267" i="3" s="1"/>
  <c r="S77" i="3"/>
  <c r="T77" i="3" s="1"/>
  <c r="S259" i="3"/>
  <c r="T259" i="3" s="1"/>
  <c r="S254" i="3"/>
  <c r="T254" i="3" s="1"/>
  <c r="S236" i="3"/>
  <c r="T236" i="3" s="1"/>
  <c r="S278" i="3"/>
  <c r="T278" i="3" s="1"/>
  <c r="S194" i="3"/>
  <c r="T194" i="3" s="1"/>
  <c r="S263" i="3"/>
  <c r="T263" i="3" s="1"/>
  <c r="S21" i="3"/>
  <c r="T21" i="3" s="1"/>
  <c r="S83" i="3"/>
  <c r="T83" i="3" s="1"/>
  <c r="S276" i="3"/>
  <c r="T276" i="3" s="1"/>
  <c r="S185" i="3"/>
  <c r="T185" i="3" s="1"/>
  <c r="S14" i="3"/>
  <c r="T14" i="3" s="1"/>
  <c r="S301" i="3"/>
  <c r="T301" i="3" s="1"/>
  <c r="S235" i="3"/>
  <c r="T235" i="3" s="1"/>
  <c r="S174" i="3"/>
  <c r="T174" i="3" s="1"/>
  <c r="S72" i="3"/>
  <c r="T72" i="3" s="1"/>
  <c r="S216" i="3"/>
  <c r="T216" i="3" s="1"/>
  <c r="S203" i="3"/>
  <c r="T203" i="3" s="1"/>
  <c r="S204" i="3"/>
  <c r="T204" i="3" s="1"/>
  <c r="S123" i="3"/>
  <c r="T123" i="3" s="1"/>
  <c r="S237" i="3"/>
  <c r="T237" i="3" s="1"/>
  <c r="S172" i="3"/>
  <c r="T172" i="3" s="1"/>
  <c r="S215" i="3"/>
  <c r="T215" i="3" s="1"/>
  <c r="S255" i="3"/>
  <c r="T255" i="3" s="1"/>
  <c r="S90" i="3"/>
  <c r="T90" i="3" s="1"/>
  <c r="S52" i="3"/>
  <c r="T52" i="3" s="1"/>
  <c r="S101" i="3"/>
  <c r="T101" i="3" s="1"/>
  <c r="S40" i="3"/>
  <c r="T40" i="3" s="1"/>
  <c r="S226" i="3"/>
  <c r="T226" i="3" s="1"/>
  <c r="S225" i="3"/>
  <c r="T225" i="3" s="1"/>
  <c r="S217" i="3"/>
  <c r="T217" i="3" s="1"/>
  <c r="S227" i="3"/>
  <c r="T227" i="3" s="1"/>
  <c r="S69" i="3"/>
  <c r="T69" i="3" s="1"/>
  <c r="S32" i="3"/>
  <c r="T32" i="3" s="1"/>
  <c r="S120" i="3"/>
  <c r="T120" i="3" s="1"/>
  <c r="S55" i="3"/>
  <c r="T55" i="3" s="1"/>
  <c r="S167" i="3"/>
  <c r="T167" i="3" s="1"/>
  <c r="S110" i="3"/>
  <c r="T110" i="3" s="1"/>
  <c r="S177" i="3"/>
  <c r="T177" i="3" s="1"/>
  <c r="S121" i="3"/>
  <c r="T121" i="3" s="1"/>
  <c r="S277" i="3"/>
  <c r="T277" i="3" s="1"/>
  <c r="S138" i="3"/>
  <c r="T138" i="3" s="1"/>
  <c r="S31" i="3"/>
  <c r="T31" i="3" s="1"/>
  <c r="S189" i="3"/>
  <c r="T189" i="3" s="1"/>
  <c r="S58" i="3"/>
  <c r="T58" i="3" s="1"/>
  <c r="S54" i="3"/>
  <c r="T54" i="3" s="1"/>
  <c r="S160" i="3"/>
  <c r="T160" i="3" s="1"/>
  <c r="S112" i="3"/>
  <c r="T112" i="3" s="1"/>
  <c r="S200" i="3"/>
  <c r="T200" i="3" s="1"/>
  <c r="S24" i="3"/>
  <c r="T24" i="3" s="1"/>
  <c r="S53" i="3"/>
  <c r="T53" i="3" s="1"/>
  <c r="S44" i="3"/>
  <c r="T44" i="3" s="1"/>
  <c r="S59" i="3"/>
  <c r="T59" i="3" s="1"/>
  <c r="S163" i="3"/>
  <c r="T163" i="3" s="1"/>
  <c r="S253" i="3"/>
  <c r="T253" i="3" s="1"/>
  <c r="S25" i="3"/>
  <c r="T25" i="3" s="1"/>
  <c r="S246" i="3"/>
  <c r="T246" i="3" s="1"/>
  <c r="S104" i="3"/>
  <c r="T104" i="3" s="1"/>
  <c r="S184" i="3"/>
  <c r="T184" i="3" s="1"/>
  <c r="S288" i="3"/>
  <c r="T288" i="3" s="1"/>
  <c r="S279" i="3"/>
  <c r="T279" i="3" s="1"/>
  <c r="S102" i="3"/>
  <c r="T102" i="3" s="1"/>
  <c r="S193" i="3"/>
  <c r="T193" i="3" s="1"/>
  <c r="S60" i="3"/>
  <c r="T60" i="3" s="1"/>
  <c r="S26" i="3"/>
  <c r="T26" i="3" s="1"/>
  <c r="S196" i="3"/>
  <c r="T196" i="3" s="1"/>
  <c r="S136" i="3"/>
  <c r="T136" i="3" s="1"/>
  <c r="S224" i="3"/>
  <c r="T224" i="3" s="1"/>
  <c r="S213" i="3"/>
  <c r="T213" i="3" s="1"/>
  <c r="S210" i="3"/>
  <c r="T210" i="3" s="1"/>
  <c r="S46" i="3"/>
  <c r="T46" i="3" s="1"/>
  <c r="S283" i="3"/>
  <c r="T283" i="3" s="1"/>
  <c r="S129" i="3"/>
  <c r="T129" i="3" s="1"/>
  <c r="S285" i="3"/>
  <c r="T285" i="3" s="1"/>
  <c r="S268" i="3"/>
  <c r="T268" i="3" s="1"/>
  <c r="S141" i="3"/>
  <c r="T141" i="3" s="1"/>
  <c r="S119" i="3"/>
  <c r="T119" i="3" s="1"/>
  <c r="S149" i="3"/>
  <c r="T149" i="3" s="1"/>
  <c r="S73" i="3"/>
  <c r="T73" i="3" s="1"/>
  <c r="S178" i="3"/>
  <c r="T178" i="3" s="1"/>
  <c r="S51" i="3"/>
  <c r="T51" i="3" s="1"/>
  <c r="S29" i="3"/>
  <c r="T29" i="3" s="1"/>
  <c r="S64" i="3"/>
  <c r="T64" i="3" s="1"/>
  <c r="S251" i="3"/>
  <c r="T251" i="3" s="1"/>
  <c r="S272" i="3"/>
  <c r="T272" i="3" s="1"/>
  <c r="S180" i="3"/>
  <c r="T180" i="3" s="1"/>
  <c r="S294" i="3"/>
  <c r="T294" i="3" s="1"/>
  <c r="S165" i="3"/>
  <c r="T165" i="3" s="1"/>
  <c r="S61" i="3"/>
  <c r="T61" i="3" s="1"/>
  <c r="S173" i="3"/>
  <c r="T173" i="3" s="1"/>
  <c r="S233" i="3"/>
  <c r="T233" i="3" s="1"/>
  <c r="S71" i="3"/>
  <c r="T71" i="3" s="1"/>
  <c r="S117" i="3"/>
  <c r="T117" i="3" s="1"/>
  <c r="S140" i="3"/>
  <c r="T140" i="3" s="1"/>
  <c r="S147" i="3"/>
  <c r="T147" i="3" s="1"/>
  <c r="T250" i="3" l="1"/>
  <c r="E250" i="55" s="1"/>
  <c r="G29" i="45"/>
  <c r="G31" i="45" s="1"/>
  <c r="B31" i="45" s="1"/>
  <c r="E268" i="55"/>
  <c r="E184" i="55"/>
  <c r="E53" i="55"/>
  <c r="E31" i="55"/>
  <c r="E120" i="55"/>
  <c r="E101" i="55"/>
  <c r="E14" i="55"/>
  <c r="E236" i="55"/>
  <c r="E78" i="55"/>
  <c r="E97" i="55"/>
  <c r="E269" i="55"/>
  <c r="E295" i="55"/>
  <c r="E243" i="55"/>
  <c r="E116" i="55"/>
  <c r="E287" i="55"/>
  <c r="E164" i="55"/>
  <c r="E132" i="55"/>
  <c r="E142" i="55"/>
  <c r="E211" i="55"/>
  <c r="E256" i="55"/>
  <c r="E144" i="55"/>
  <c r="E74" i="55"/>
  <c r="E266" i="55"/>
  <c r="E148" i="55"/>
  <c r="E188" i="55"/>
  <c r="E201" i="55"/>
  <c r="E89" i="55"/>
  <c r="E214" i="55"/>
  <c r="E152" i="55"/>
  <c r="E103" i="55"/>
  <c r="E66" i="55"/>
  <c r="E296" i="55"/>
  <c r="E221" i="55"/>
  <c r="E196" i="55"/>
  <c r="E32" i="55"/>
  <c r="E52" i="55"/>
  <c r="E204" i="55"/>
  <c r="E185" i="55"/>
  <c r="E254" i="55"/>
  <c r="E229" i="55"/>
  <c r="E240" i="55"/>
  <c r="E261" i="55"/>
  <c r="E252" i="55"/>
  <c r="E219" i="55"/>
  <c r="E247" i="55"/>
  <c r="E241" i="55"/>
  <c r="E11" i="55"/>
  <c r="E151" i="55"/>
  <c r="E186" i="55"/>
  <c r="E258" i="55"/>
  <c r="E176" i="55"/>
  <c r="E244" i="55"/>
  <c r="E270" i="55"/>
  <c r="E260" i="55"/>
  <c r="E128" i="55"/>
  <c r="E134" i="55"/>
  <c r="E131" i="55"/>
  <c r="E175" i="55"/>
  <c r="E197" i="55"/>
  <c r="E273" i="55"/>
  <c r="E12" i="55"/>
  <c r="E206" i="55"/>
  <c r="E105" i="55"/>
  <c r="E136" i="55"/>
  <c r="E61" i="55"/>
  <c r="E26" i="55"/>
  <c r="E246" i="55"/>
  <c r="E200" i="55"/>
  <c r="E277" i="55"/>
  <c r="E69" i="55"/>
  <c r="E90" i="55"/>
  <c r="E203" i="55"/>
  <c r="E276" i="55"/>
  <c r="E259" i="55"/>
  <c r="E127" i="55"/>
  <c r="E18" i="55"/>
  <c r="E109" i="55"/>
  <c r="E48" i="55"/>
  <c r="E47" i="55"/>
  <c r="E264" i="55"/>
  <c r="E170" i="55"/>
  <c r="E199" i="55"/>
  <c r="E181" i="55"/>
  <c r="E208" i="55"/>
  <c r="E16" i="55"/>
  <c r="E115" i="55"/>
  <c r="E92" i="55"/>
  <c r="E218" i="55"/>
  <c r="E183" i="55"/>
  <c r="E43" i="55"/>
  <c r="E166" i="55"/>
  <c r="E223" i="55"/>
  <c r="E41" i="55"/>
  <c r="E212" i="55"/>
  <c r="E298" i="55"/>
  <c r="E62" i="55"/>
  <c r="E64" i="55"/>
  <c r="E24" i="55"/>
  <c r="E283" i="55"/>
  <c r="E112" i="55"/>
  <c r="E121" i="55"/>
  <c r="E227" i="55"/>
  <c r="E255" i="55"/>
  <c r="E216" i="55"/>
  <c r="E83" i="55"/>
  <c r="E77" i="55"/>
  <c r="E45" i="55"/>
  <c r="E280" i="55"/>
  <c r="E95" i="55"/>
  <c r="E202" i="55"/>
  <c r="E275" i="55"/>
  <c r="E57" i="55"/>
  <c r="E139" i="55"/>
  <c r="E155" i="55"/>
  <c r="E192" i="55"/>
  <c r="E37" i="55"/>
  <c r="E67" i="55"/>
  <c r="E34" i="55"/>
  <c r="E297" i="55"/>
  <c r="E234" i="55"/>
  <c r="E82" i="55"/>
  <c r="E145" i="55"/>
  <c r="E239" i="55"/>
  <c r="E198" i="55"/>
  <c r="E281" i="55"/>
  <c r="E13" i="55"/>
  <c r="E168" i="55"/>
  <c r="E228" i="55"/>
  <c r="E137" i="55"/>
  <c r="E63" i="55"/>
  <c r="E29" i="55"/>
  <c r="E51" i="55"/>
  <c r="E60" i="55"/>
  <c r="E73" i="55"/>
  <c r="E46" i="55"/>
  <c r="E193" i="55"/>
  <c r="E253" i="55"/>
  <c r="E160" i="55"/>
  <c r="E177" i="55"/>
  <c r="E217" i="55"/>
  <c r="E215" i="55"/>
  <c r="E72" i="55"/>
  <c r="E21" i="55"/>
  <c r="E267" i="55"/>
  <c r="E100" i="55"/>
  <c r="E182" i="55"/>
  <c r="E76" i="55"/>
  <c r="E207" i="55"/>
  <c r="E111" i="55"/>
  <c r="E153" i="55"/>
  <c r="E80" i="55"/>
  <c r="E19" i="55"/>
  <c r="E15" i="55"/>
  <c r="E135" i="55"/>
  <c r="E191" i="55"/>
  <c r="E274" i="55"/>
  <c r="E108" i="55"/>
  <c r="E98" i="55"/>
  <c r="E33" i="55"/>
  <c r="E50" i="55"/>
  <c r="E248" i="55"/>
  <c r="E249" i="55"/>
  <c r="E99" i="55"/>
  <c r="E265" i="55"/>
  <c r="E179" i="55"/>
  <c r="E107" i="55"/>
  <c r="E85" i="55"/>
  <c r="E220" i="55"/>
  <c r="E65" i="55"/>
  <c r="E285" i="55"/>
  <c r="E129" i="55"/>
  <c r="E178" i="55"/>
  <c r="E294" i="55"/>
  <c r="E149" i="55"/>
  <c r="E102" i="55"/>
  <c r="E163" i="55"/>
  <c r="E54" i="55"/>
  <c r="E110" i="55"/>
  <c r="E225" i="55"/>
  <c r="E172" i="55"/>
  <c r="E174" i="55"/>
  <c r="E263" i="55"/>
  <c r="E124" i="55"/>
  <c r="E70" i="55"/>
  <c r="E106" i="55"/>
  <c r="E292" i="55"/>
  <c r="E96" i="55"/>
  <c r="E36" i="55"/>
  <c r="E289" i="55"/>
  <c r="E84" i="55"/>
  <c r="E130" i="55"/>
  <c r="E238" i="55"/>
  <c r="E157" i="55"/>
  <c r="E286" i="55"/>
  <c r="E93" i="55"/>
  <c r="E56" i="55"/>
  <c r="E23" i="55"/>
  <c r="E205" i="55"/>
  <c r="E156" i="55"/>
  <c r="E187" i="55"/>
  <c r="E20" i="55"/>
  <c r="E159" i="55"/>
  <c r="E146" i="55"/>
  <c r="E86" i="55"/>
  <c r="E88" i="55"/>
  <c r="E150" i="55"/>
  <c r="E299" i="55"/>
  <c r="E233" i="55"/>
  <c r="E138" i="55"/>
  <c r="E25" i="55"/>
  <c r="E140" i="55"/>
  <c r="E117" i="55"/>
  <c r="E119" i="55"/>
  <c r="E213" i="55"/>
  <c r="E279" i="55"/>
  <c r="E59" i="55"/>
  <c r="E58" i="55"/>
  <c r="E167" i="55"/>
  <c r="E226" i="55"/>
  <c r="E237" i="55"/>
  <c r="E235" i="55"/>
  <c r="E194" i="55"/>
  <c r="E125" i="55"/>
  <c r="E284" i="55"/>
  <c r="E22" i="55"/>
  <c r="E169" i="55"/>
  <c r="E87" i="55"/>
  <c r="E122" i="55"/>
  <c r="E118" i="55"/>
  <c r="E161" i="55"/>
  <c r="E126" i="55"/>
  <c r="E113" i="55"/>
  <c r="E143" i="55"/>
  <c r="E230" i="55"/>
  <c r="E209" i="55"/>
  <c r="E81" i="55"/>
  <c r="E293" i="55"/>
  <c r="E39" i="55"/>
  <c r="E38" i="55"/>
  <c r="E79" i="55"/>
  <c r="E232" i="55"/>
  <c r="E190" i="55"/>
  <c r="E91" i="55"/>
  <c r="E242" i="55"/>
  <c r="E10" i="55"/>
  <c r="E300" i="55"/>
  <c r="E30" i="55"/>
  <c r="E42" i="55"/>
  <c r="E173" i="55"/>
  <c r="E104" i="55"/>
  <c r="E165" i="55"/>
  <c r="E147" i="55"/>
  <c r="E180" i="55"/>
  <c r="E210" i="55"/>
  <c r="E272" i="55"/>
  <c r="E71" i="55"/>
  <c r="E251" i="55"/>
  <c r="E141" i="55"/>
  <c r="E224" i="55"/>
  <c r="E288" i="55"/>
  <c r="E44" i="55"/>
  <c r="E189" i="55"/>
  <c r="E55" i="55"/>
  <c r="E40" i="55"/>
  <c r="E123" i="55"/>
  <c r="E301" i="55"/>
  <c r="E278" i="55"/>
  <c r="E231" i="55"/>
  <c r="E171" i="55"/>
  <c r="E114" i="55"/>
  <c r="E262" i="55"/>
  <c r="E257" i="55"/>
  <c r="E290" i="55"/>
  <c r="E35" i="55"/>
  <c r="E28" i="55"/>
  <c r="E162" i="55"/>
  <c r="E133" i="55"/>
  <c r="E158" i="55"/>
  <c r="E94" i="55"/>
  <c r="E291" i="55"/>
  <c r="E195" i="55"/>
  <c r="E222" i="55"/>
  <c r="E9" i="55"/>
  <c r="E17" i="55"/>
  <c r="E245" i="55"/>
  <c r="E154" i="55"/>
  <c r="E282" i="55"/>
  <c r="E68" i="55"/>
  <c r="E49" i="55"/>
  <c r="E75" i="55"/>
  <c r="E271" i="55"/>
  <c r="E27" i="55"/>
  <c r="S302" i="3"/>
  <c r="T8" i="3"/>
  <c r="T6" i="3" l="1"/>
  <c r="I36" i="45"/>
  <c r="E8" i="57"/>
  <c r="H8" i="57" s="1"/>
  <c r="E8" i="55"/>
  <c r="E302" i="55" s="1"/>
  <c r="T302" i="3"/>
  <c r="M302" i="21" l="1"/>
  <c r="M6" i="21" s="1"/>
  <c r="N8" i="21"/>
  <c r="N302" i="21" l="1"/>
  <c r="N6" i="21" s="1"/>
  <c r="K8" i="55"/>
  <c r="K302" i="55" l="1"/>
  <c r="M8" i="55"/>
  <c r="M302" i="55" l="1"/>
  <c r="Q205" i="9" l="1"/>
  <c r="Q207" i="9"/>
  <c r="Q9" i="9"/>
  <c r="Q70" i="9"/>
  <c r="Q210" i="9"/>
  <c r="Q275" i="9"/>
  <c r="Q277" i="9"/>
  <c r="Q179" i="9"/>
  <c r="Q181" i="9"/>
  <c r="Q266" i="9"/>
  <c r="Q281" i="9"/>
  <c r="Q48" i="9"/>
  <c r="Q49" i="9"/>
  <c r="Q186" i="9"/>
  <c r="Q187" i="9"/>
  <c r="Q191" i="9"/>
  <c r="Q12" i="9"/>
  <c r="Q214" i="9"/>
  <c r="Q111" i="9"/>
  <c r="Q14" i="9"/>
  <c r="Q141" i="9"/>
  <c r="Q55" i="9"/>
  <c r="Q170" i="9"/>
  <c r="Q143" i="9"/>
  <c r="Q16" i="9"/>
  <c r="Q234" i="9"/>
  <c r="Q81" i="9"/>
  <c r="Q165" i="9"/>
  <c r="Q122" i="9"/>
  <c r="Q248" i="9"/>
  <c r="Q34" i="9"/>
  <c r="Q222" i="9"/>
  <c r="Q261" i="9"/>
  <c r="Q246" i="9"/>
  <c r="Q271" i="9"/>
  <c r="Q21" i="9"/>
  <c r="Q232" i="9"/>
  <c r="Q130" i="9"/>
  <c r="Q182" i="9"/>
  <c r="Q72" i="9"/>
  <c r="Q109" i="9"/>
  <c r="Q188" i="9"/>
  <c r="Q240" i="9"/>
  <c r="Q139" i="9"/>
  <c r="Q193" i="9"/>
  <c r="Q163" i="9"/>
  <c r="Q79" i="9"/>
  <c r="Q292" i="9"/>
  <c r="Q223" i="9"/>
  <c r="Q172" i="9"/>
  <c r="Q208" i="9"/>
  <c r="Q26" i="9"/>
  <c r="Q27" i="9"/>
  <c r="Q128" i="9"/>
  <c r="Q91" i="9"/>
  <c r="Q43" i="9"/>
  <c r="Q10" i="9"/>
  <c r="Q92" i="9"/>
  <c r="Q45" i="9"/>
  <c r="Q36" i="9"/>
  <c r="Q159" i="9"/>
  <c r="Q137" i="9"/>
  <c r="Q37" i="9"/>
  <c r="Q77" i="9"/>
  <c r="Q51" i="9"/>
  <c r="Q155" i="9"/>
  <c r="Q42" i="9"/>
  <c r="Q13" i="9"/>
  <c r="Q215" i="9"/>
  <c r="Q54" i="9"/>
  <c r="Q56" i="9"/>
  <c r="Q216" i="9"/>
  <c r="Q78" i="9"/>
  <c r="Q102" i="9"/>
  <c r="Q290" i="9"/>
  <c r="Q259" i="9"/>
  <c r="Q114" i="9"/>
  <c r="Q20" i="9"/>
  <c r="Q249" i="9"/>
  <c r="Q231" i="9"/>
  <c r="Q105" i="9"/>
  <c r="Q296" i="9"/>
  <c r="Q202" i="9"/>
  <c r="Q262" i="9"/>
  <c r="Q153" i="9"/>
  <c r="Q90" i="9"/>
  <c r="Q236" i="9"/>
  <c r="Q44" i="9"/>
  <c r="Q183" i="9"/>
  <c r="Q283" i="9"/>
  <c r="Q28" i="9"/>
  <c r="Q88" i="9"/>
  <c r="Q68" i="9"/>
  <c r="Q174" i="9"/>
  <c r="Q274" i="9"/>
  <c r="Q156" i="9"/>
  <c r="Q218" i="9"/>
  <c r="Q53" i="9"/>
  <c r="Q142" i="9"/>
  <c r="Q87" i="9"/>
  <c r="Q288" i="9"/>
  <c r="Q82" i="9"/>
  <c r="Q146" i="9"/>
  <c r="Q86" i="9"/>
  <c r="Q23" i="9"/>
  <c r="Q106" i="9"/>
  <c r="Q272" i="9"/>
  <c r="Q125" i="9"/>
  <c r="Q251" i="9"/>
  <c r="Q276" i="9"/>
  <c r="Q158" i="9"/>
  <c r="Q237" i="9"/>
  <c r="Q11" i="9"/>
  <c r="Q184" i="9"/>
  <c r="Q185" i="9"/>
  <c r="Q284" i="9"/>
  <c r="Q50" i="9"/>
  <c r="Q96" i="9"/>
  <c r="Q52" i="9"/>
  <c r="Q160" i="9"/>
  <c r="Q196" i="9"/>
  <c r="Q140" i="9"/>
  <c r="Q120" i="9"/>
  <c r="Q241" i="9"/>
  <c r="Q58" i="9"/>
  <c r="Q100" i="9"/>
  <c r="Q217" i="9"/>
  <c r="Q80" i="9"/>
  <c r="Q63" i="9"/>
  <c r="Q121" i="9"/>
  <c r="Q221" i="9"/>
  <c r="Q83" i="9"/>
  <c r="Q123" i="9"/>
  <c r="Q293" i="9"/>
  <c r="Q200" i="9"/>
  <c r="Q297" i="9"/>
  <c r="Q168" i="9"/>
  <c r="Q169" i="9"/>
  <c r="Q154" i="9"/>
  <c r="Q278" i="9"/>
  <c r="Q93" i="9"/>
  <c r="Q282" i="9"/>
  <c r="Q74" i="9"/>
  <c r="Q97" i="9"/>
  <c r="Q269" i="9"/>
  <c r="Q161" i="9"/>
  <c r="Q32" i="9"/>
  <c r="Q15" i="9"/>
  <c r="Q242" i="9"/>
  <c r="Q145" i="9"/>
  <c r="Q294" i="9"/>
  <c r="Q150" i="9"/>
  <c r="Q298" i="9"/>
  <c r="Q204" i="9"/>
  <c r="Q35" i="9"/>
  <c r="Q273" i="9"/>
  <c r="Q209" i="9"/>
  <c r="Q40" i="9"/>
  <c r="Q252" i="9"/>
  <c r="Q264" i="9"/>
  <c r="Q211" i="9"/>
  <c r="Q118" i="9"/>
  <c r="Q227" i="9"/>
  <c r="Q108" i="9"/>
  <c r="Q47" i="9"/>
  <c r="Q254" i="9"/>
  <c r="Q255" i="9"/>
  <c r="Q76" i="9"/>
  <c r="Q256" i="9"/>
  <c r="Q239" i="9"/>
  <c r="Q267" i="9"/>
  <c r="Q64" i="9"/>
  <c r="Q263" i="9"/>
  <c r="Q30" i="9"/>
  <c r="Q228" i="9"/>
  <c r="Q57" i="9"/>
  <c r="Q229" i="9"/>
  <c r="Q101" i="9"/>
  <c r="Q289" i="9"/>
  <c r="Q113" i="9"/>
  <c r="Q291" i="9"/>
  <c r="Q115" i="9"/>
  <c r="Q117" i="9"/>
  <c r="Q147" i="9"/>
  <c r="Q66" i="9"/>
  <c r="Q243" i="9"/>
  <c r="Q224" i="9"/>
  <c r="Q85" i="9"/>
  <c r="Q67" i="9"/>
  <c r="Q300" i="9"/>
  <c r="Q41" i="9"/>
  <c r="Q253" i="9"/>
  <c r="Q247" i="9"/>
  <c r="Q131" i="9"/>
  <c r="Q280" i="9"/>
  <c r="Q73" i="9"/>
  <c r="Q94" i="9"/>
  <c r="Q29" i="9"/>
  <c r="Q233" i="9"/>
  <c r="Q112" i="9"/>
  <c r="Q31" i="9"/>
  <c r="Q268" i="9"/>
  <c r="Q17" i="9"/>
  <c r="Q195" i="9"/>
  <c r="Q220" i="9"/>
  <c r="Q197" i="9"/>
  <c r="Q225" i="9"/>
  <c r="Q152" i="9"/>
  <c r="Q301" i="9"/>
  <c r="Q206" i="9"/>
  <c r="Q69" i="9"/>
  <c r="Q175" i="9"/>
  <c r="Q250" i="9"/>
  <c r="Q24" i="9"/>
  <c r="Q25" i="9"/>
  <c r="Q89" i="9"/>
  <c r="Q127" i="9"/>
  <c r="Q129" i="9"/>
  <c r="Q177" i="9"/>
  <c r="Q279" i="9"/>
  <c r="Q132" i="9"/>
  <c r="Q238" i="9"/>
  <c r="Q213" i="9"/>
  <c r="Q133" i="9"/>
  <c r="Q135" i="9"/>
  <c r="Q75" i="9"/>
  <c r="Q95" i="9"/>
  <c r="Q189" i="9"/>
  <c r="Q98" i="9"/>
  <c r="Q235" i="9"/>
  <c r="Q201" i="9"/>
  <c r="Q162" i="9"/>
  <c r="Q285" i="9"/>
  <c r="Q286" i="9"/>
  <c r="Q59" i="9"/>
  <c r="Q194" i="9"/>
  <c r="Q18" i="9"/>
  <c r="Q61" i="9"/>
  <c r="Q219" i="9"/>
  <c r="Q116" i="9"/>
  <c r="Q230" i="9"/>
  <c r="Q104" i="9"/>
  <c r="Q124" i="9"/>
  <c r="Q167" i="9"/>
  <c r="Q244" i="9"/>
  <c r="Q149" i="9"/>
  <c r="Q151" i="9"/>
  <c r="Q299" i="9"/>
  <c r="Q22" i="9"/>
  <c r="Q199" i="9"/>
  <c r="Q295" i="9"/>
  <c r="Q245" i="9"/>
  <c r="Q126" i="9"/>
  <c r="Q260" i="9"/>
  <c r="Q148" i="9"/>
  <c r="Q171" i="9"/>
  <c r="Q173" i="9"/>
  <c r="Q39" i="9"/>
  <c r="Q176" i="9"/>
  <c r="Q157" i="9"/>
  <c r="Q178" i="9"/>
  <c r="Q107" i="9"/>
  <c r="Q180" i="9"/>
  <c r="Q265" i="9"/>
  <c r="Q46" i="9"/>
  <c r="Q134" i="9"/>
  <c r="Q136" i="9"/>
  <c r="Q138" i="9"/>
  <c r="Q119" i="9"/>
  <c r="Q190" i="9"/>
  <c r="Q192" i="9"/>
  <c r="Q110" i="9"/>
  <c r="Q203" i="9"/>
  <c r="Q212" i="9"/>
  <c r="Q257" i="9"/>
  <c r="Q99" i="9"/>
  <c r="Q287" i="9"/>
  <c r="Q258" i="9"/>
  <c r="Q164" i="9"/>
  <c r="Q60" i="9"/>
  <c r="Q62" i="9"/>
  <c r="Q144" i="9"/>
  <c r="Q19" i="9"/>
  <c r="Q166" i="9"/>
  <c r="Q33" i="9"/>
  <c r="Q65" i="9"/>
  <c r="Q270" i="9"/>
  <c r="Q226" i="9"/>
  <c r="Q103" i="9"/>
  <c r="Q198" i="9"/>
  <c r="Q38" i="9"/>
  <c r="P204" i="9"/>
  <c r="P35" i="9"/>
  <c r="P273" i="9"/>
  <c r="P209" i="9"/>
  <c r="P40" i="9"/>
  <c r="P252" i="9"/>
  <c r="P264" i="9"/>
  <c r="P211" i="9"/>
  <c r="P118" i="9"/>
  <c r="P227" i="9"/>
  <c r="P108" i="9"/>
  <c r="P47" i="9"/>
  <c r="P254" i="9"/>
  <c r="P255" i="9"/>
  <c r="P76" i="9"/>
  <c r="P256" i="9"/>
  <c r="P239" i="9"/>
  <c r="P267" i="9"/>
  <c r="P64" i="9"/>
  <c r="P263" i="9"/>
  <c r="P30" i="9"/>
  <c r="P228" i="9"/>
  <c r="P57" i="9"/>
  <c r="P229" i="9"/>
  <c r="P101" i="9"/>
  <c r="P289" i="9"/>
  <c r="P113" i="9"/>
  <c r="P291" i="9"/>
  <c r="P115" i="9"/>
  <c r="P117" i="9"/>
  <c r="P84" i="9"/>
  <c r="P147" i="9"/>
  <c r="P66" i="9"/>
  <c r="P243" i="9"/>
  <c r="P224" i="9"/>
  <c r="P85" i="9"/>
  <c r="P67" i="9"/>
  <c r="P300" i="9"/>
  <c r="P301" i="9"/>
  <c r="P128" i="9"/>
  <c r="P92" i="9"/>
  <c r="P77" i="9"/>
  <c r="P54" i="9"/>
  <c r="P259" i="9"/>
  <c r="P231" i="9"/>
  <c r="P262" i="9"/>
  <c r="P50" i="9"/>
  <c r="P120" i="9"/>
  <c r="P63" i="9"/>
  <c r="P200" i="9"/>
  <c r="P154" i="9"/>
  <c r="P206" i="9"/>
  <c r="P69" i="9"/>
  <c r="P175" i="9"/>
  <c r="P41" i="9"/>
  <c r="P253" i="9"/>
  <c r="P247" i="9"/>
  <c r="P278" i="9"/>
  <c r="P131" i="9"/>
  <c r="P93" i="9"/>
  <c r="P280" i="9"/>
  <c r="P282" i="9"/>
  <c r="P73" i="9"/>
  <c r="P74" i="9"/>
  <c r="P94" i="9"/>
  <c r="P29" i="9"/>
  <c r="P97" i="9"/>
  <c r="P233" i="9"/>
  <c r="P269" i="9"/>
  <c r="P112" i="9"/>
  <c r="P161" i="9"/>
  <c r="P31" i="9"/>
  <c r="P32" i="9"/>
  <c r="P268" i="9"/>
  <c r="P15" i="9"/>
  <c r="P17" i="9"/>
  <c r="P242" i="9"/>
  <c r="P195" i="9"/>
  <c r="P220" i="9"/>
  <c r="P145" i="9"/>
  <c r="P197" i="9"/>
  <c r="P294" i="9"/>
  <c r="P225" i="9"/>
  <c r="P150" i="9"/>
  <c r="P152" i="9"/>
  <c r="P126" i="9"/>
  <c r="P91" i="9"/>
  <c r="P36" i="9"/>
  <c r="P37" i="9"/>
  <c r="P13" i="9"/>
  <c r="P78" i="9"/>
  <c r="P105" i="9"/>
  <c r="P160" i="9"/>
  <c r="P241" i="9"/>
  <c r="P121" i="9"/>
  <c r="P297" i="9"/>
  <c r="P250" i="9"/>
  <c r="N23" i="45" s="1"/>
  <c r="P24" i="9"/>
  <c r="P25" i="9"/>
  <c r="P89" i="9"/>
  <c r="P127" i="9"/>
  <c r="P129" i="9"/>
  <c r="P177" i="9"/>
  <c r="P279" i="9"/>
  <c r="P132" i="9"/>
  <c r="P238" i="9"/>
  <c r="P213" i="9"/>
  <c r="P133" i="9"/>
  <c r="P135" i="9"/>
  <c r="P75" i="9"/>
  <c r="P95" i="9"/>
  <c r="P189" i="9"/>
  <c r="P98" i="9"/>
  <c r="P235" i="9"/>
  <c r="P201" i="9"/>
  <c r="P162" i="9"/>
  <c r="P285" i="9"/>
  <c r="P286" i="9"/>
  <c r="P59" i="9"/>
  <c r="P194" i="9"/>
  <c r="P18" i="9"/>
  <c r="P61" i="9"/>
  <c r="P219" i="9"/>
  <c r="P116" i="9"/>
  <c r="P230" i="9"/>
  <c r="P104" i="9"/>
  <c r="P124" i="9"/>
  <c r="P167" i="9"/>
  <c r="P244" i="9"/>
  <c r="P149" i="9"/>
  <c r="P151" i="9"/>
  <c r="P299" i="9"/>
  <c r="P22" i="9"/>
  <c r="P208" i="9"/>
  <c r="P43" i="9"/>
  <c r="P159" i="9"/>
  <c r="P155" i="9"/>
  <c r="P215" i="9"/>
  <c r="P290" i="9"/>
  <c r="P249" i="9"/>
  <c r="P202" i="9"/>
  <c r="P284" i="9"/>
  <c r="P196" i="9"/>
  <c r="P100" i="9"/>
  <c r="P83" i="9"/>
  <c r="P169" i="9"/>
  <c r="P171" i="9"/>
  <c r="P173" i="9"/>
  <c r="P39" i="9"/>
  <c r="P176" i="9"/>
  <c r="P71" i="9"/>
  <c r="P157" i="9"/>
  <c r="P178" i="9"/>
  <c r="P107" i="9"/>
  <c r="P180" i="9"/>
  <c r="P265" i="9"/>
  <c r="P46" i="9"/>
  <c r="P134" i="9"/>
  <c r="P136" i="9"/>
  <c r="P138" i="9"/>
  <c r="P119" i="9"/>
  <c r="P190" i="9"/>
  <c r="P192" i="9"/>
  <c r="P110" i="9"/>
  <c r="P203" i="9"/>
  <c r="P212" i="9"/>
  <c r="P257" i="9"/>
  <c r="P99" i="9"/>
  <c r="P287" i="9"/>
  <c r="P258" i="9"/>
  <c r="P164" i="9"/>
  <c r="P60" i="9"/>
  <c r="P62" i="9"/>
  <c r="P144" i="9"/>
  <c r="P19" i="9"/>
  <c r="P166" i="9"/>
  <c r="P33" i="9"/>
  <c r="P65" i="9"/>
  <c r="P199" i="9"/>
  <c r="P295" i="9"/>
  <c r="P270" i="9"/>
  <c r="P245" i="9"/>
  <c r="P226" i="9"/>
  <c r="P26" i="9"/>
  <c r="P10" i="9"/>
  <c r="P137" i="9"/>
  <c r="P42" i="9"/>
  <c r="P216" i="9"/>
  <c r="P114" i="9"/>
  <c r="P153" i="9"/>
  <c r="P52" i="9"/>
  <c r="P58" i="9"/>
  <c r="P221" i="9"/>
  <c r="P168" i="9"/>
  <c r="P205" i="9"/>
  <c r="P207" i="9"/>
  <c r="P9" i="9"/>
  <c r="P70" i="9"/>
  <c r="P210" i="9"/>
  <c r="P275" i="9"/>
  <c r="P277" i="9"/>
  <c r="P179" i="9"/>
  <c r="P181" i="9"/>
  <c r="P266" i="9"/>
  <c r="P281" i="9"/>
  <c r="P48" i="9"/>
  <c r="P49" i="9"/>
  <c r="P186" i="9"/>
  <c r="P187" i="9"/>
  <c r="P191" i="9"/>
  <c r="P12" i="9"/>
  <c r="P214" i="9"/>
  <c r="P111" i="9"/>
  <c r="P14" i="9"/>
  <c r="P141" i="9"/>
  <c r="P55" i="9"/>
  <c r="P170" i="9"/>
  <c r="P143" i="9"/>
  <c r="P16" i="9"/>
  <c r="P234" i="9"/>
  <c r="P81" i="9"/>
  <c r="P165" i="9"/>
  <c r="P122" i="9"/>
  <c r="P248" i="9"/>
  <c r="P34" i="9"/>
  <c r="P222" i="9"/>
  <c r="P261" i="9"/>
  <c r="P246" i="9"/>
  <c r="P271" i="9"/>
  <c r="P21" i="9"/>
  <c r="P232" i="9"/>
  <c r="P27" i="9"/>
  <c r="P45" i="9"/>
  <c r="P51" i="9"/>
  <c r="P56" i="9"/>
  <c r="P102" i="9"/>
  <c r="P20" i="9"/>
  <c r="P296" i="9"/>
  <c r="P185" i="9"/>
  <c r="P217" i="9"/>
  <c r="P123" i="9"/>
  <c r="P172" i="9"/>
  <c r="P68" i="9"/>
  <c r="P174" i="9"/>
  <c r="P274" i="9"/>
  <c r="P156" i="9"/>
  <c r="P90" i="9"/>
  <c r="P236" i="9"/>
  <c r="P130" i="9"/>
  <c r="P44" i="9"/>
  <c r="P182" i="9"/>
  <c r="P183" i="9"/>
  <c r="P72" i="9"/>
  <c r="P283" i="9"/>
  <c r="P109" i="9"/>
  <c r="P28" i="9"/>
  <c r="P188" i="9"/>
  <c r="P88" i="9"/>
  <c r="P240" i="9"/>
  <c r="P218" i="9"/>
  <c r="P139" i="9"/>
  <c r="P53" i="9"/>
  <c r="P142" i="9"/>
  <c r="P193" i="9"/>
  <c r="P87" i="9"/>
  <c r="P163" i="9"/>
  <c r="P288" i="9"/>
  <c r="P79" i="9"/>
  <c r="P82" i="9"/>
  <c r="P103" i="9"/>
  <c r="P260" i="9"/>
  <c r="P292" i="9"/>
  <c r="P146" i="9"/>
  <c r="P198" i="9"/>
  <c r="P148" i="9"/>
  <c r="P223" i="9"/>
  <c r="P298" i="9"/>
  <c r="P86" i="9"/>
  <c r="P38" i="9"/>
  <c r="P23" i="9"/>
  <c r="P106" i="9"/>
  <c r="P272" i="9"/>
  <c r="P125" i="9"/>
  <c r="P251" i="9"/>
  <c r="P276" i="9"/>
  <c r="P158" i="9"/>
  <c r="P237" i="9"/>
  <c r="P11" i="9"/>
  <c r="P184" i="9"/>
  <c r="P96" i="9"/>
  <c r="P140" i="9"/>
  <c r="P80" i="9"/>
  <c r="P293" i="9"/>
  <c r="N24" i="45" l="1"/>
  <c r="N26" i="45" s="1"/>
  <c r="R240" i="9"/>
  <c r="S240" i="9" s="1"/>
  <c r="R275" i="9"/>
  <c r="S275" i="9" s="1"/>
  <c r="R202" i="9"/>
  <c r="S202" i="9" s="1"/>
  <c r="R44" i="9"/>
  <c r="S44" i="9" s="1"/>
  <c r="R188" i="9"/>
  <c r="S188" i="9" s="1"/>
  <c r="R193" i="9"/>
  <c r="S193" i="9" s="1"/>
  <c r="R293" i="9"/>
  <c r="S293" i="9" s="1"/>
  <c r="R276" i="9"/>
  <c r="S276" i="9" s="1"/>
  <c r="R38" i="9"/>
  <c r="S38" i="9" s="1"/>
  <c r="R260" i="9"/>
  <c r="S260" i="9" s="1"/>
  <c r="R142" i="9"/>
  <c r="S142" i="9" s="1"/>
  <c r="R109" i="9"/>
  <c r="S109" i="9" s="1"/>
  <c r="R90" i="9"/>
  <c r="S90" i="9" s="1"/>
  <c r="R102" i="9"/>
  <c r="S102" i="9" s="1"/>
  <c r="R246" i="9"/>
  <c r="S246" i="9" s="1"/>
  <c r="R234" i="9"/>
  <c r="S234" i="9" s="1"/>
  <c r="R214" i="9"/>
  <c r="S214" i="9" s="1"/>
  <c r="R266" i="9"/>
  <c r="S266" i="9" s="1"/>
  <c r="R207" i="9"/>
  <c r="S207" i="9" s="1"/>
  <c r="R153" i="9"/>
  <c r="S153" i="9" s="1"/>
  <c r="R226" i="9"/>
  <c r="S226" i="9" s="1"/>
  <c r="R19" i="9"/>
  <c r="S19" i="9" s="1"/>
  <c r="R257" i="9"/>
  <c r="S257" i="9" s="1"/>
  <c r="R136" i="9"/>
  <c r="S136" i="9" s="1"/>
  <c r="R71" i="9"/>
  <c r="S71" i="9" s="1"/>
  <c r="R83" i="9"/>
  <c r="S83" i="9" s="1"/>
  <c r="R155" i="9"/>
  <c r="S155" i="9" s="1"/>
  <c r="R244" i="9"/>
  <c r="S244" i="9" s="1"/>
  <c r="R18" i="9"/>
  <c r="S18" i="9" s="1"/>
  <c r="R235" i="9"/>
  <c r="S235" i="9" s="1"/>
  <c r="R238" i="9"/>
  <c r="S238" i="9" s="1"/>
  <c r="R24" i="9"/>
  <c r="S24" i="9" s="1"/>
  <c r="R152" i="9"/>
  <c r="S152" i="9" s="1"/>
  <c r="R220" i="9"/>
  <c r="S220" i="9" s="1"/>
  <c r="R161" i="9"/>
  <c r="S161" i="9" s="1"/>
  <c r="R73" i="9"/>
  <c r="S73" i="9" s="1"/>
  <c r="R41" i="9"/>
  <c r="S41" i="9" s="1"/>
  <c r="R200" i="9"/>
  <c r="S200" i="9" s="1"/>
  <c r="R77" i="9"/>
  <c r="S77" i="9" s="1"/>
  <c r="R243" i="9"/>
  <c r="S243" i="9" s="1"/>
  <c r="R289" i="9"/>
  <c r="S289" i="9" s="1"/>
  <c r="R267" i="9"/>
  <c r="S267" i="9" s="1"/>
  <c r="R227" i="9"/>
  <c r="S227" i="9" s="1"/>
  <c r="R35" i="9"/>
  <c r="S35" i="9" s="1"/>
  <c r="R68" i="9"/>
  <c r="S68" i="9" s="1"/>
  <c r="R42" i="9"/>
  <c r="S42" i="9" s="1"/>
  <c r="R230" i="9"/>
  <c r="S230" i="9" s="1"/>
  <c r="R15" i="9"/>
  <c r="S15" i="9" s="1"/>
  <c r="R117" i="9"/>
  <c r="S117" i="9" s="1"/>
  <c r="R198" i="9"/>
  <c r="S198" i="9" s="1"/>
  <c r="R80" i="9"/>
  <c r="S80" i="9" s="1"/>
  <c r="R251" i="9"/>
  <c r="S251" i="9" s="1"/>
  <c r="R86" i="9"/>
  <c r="S86" i="9" s="1"/>
  <c r="R103" i="9"/>
  <c r="S103" i="9" s="1"/>
  <c r="R53" i="9"/>
  <c r="S53" i="9" s="1"/>
  <c r="R283" i="9"/>
  <c r="S283" i="9" s="1"/>
  <c r="R156" i="9"/>
  <c r="S156" i="9" s="1"/>
  <c r="R56" i="9"/>
  <c r="S56" i="9" s="1"/>
  <c r="R261" i="9"/>
  <c r="S261" i="9" s="1"/>
  <c r="R16" i="9"/>
  <c r="S16" i="9" s="1"/>
  <c r="R12" i="9"/>
  <c r="S12" i="9" s="1"/>
  <c r="R181" i="9"/>
  <c r="S181" i="9" s="1"/>
  <c r="R205" i="9"/>
  <c r="S205" i="9" s="1"/>
  <c r="R245" i="9"/>
  <c r="S245" i="9" s="1"/>
  <c r="R144" i="9"/>
  <c r="S144" i="9" s="1"/>
  <c r="R212" i="9"/>
  <c r="S212" i="9" s="1"/>
  <c r="R134" i="9"/>
  <c r="S134" i="9" s="1"/>
  <c r="R176" i="9"/>
  <c r="S176" i="9" s="1"/>
  <c r="R100" i="9"/>
  <c r="S100" i="9" s="1"/>
  <c r="R159" i="9"/>
  <c r="S159" i="9" s="1"/>
  <c r="R167" i="9"/>
  <c r="S167" i="9" s="1"/>
  <c r="R194" i="9"/>
  <c r="S194" i="9" s="1"/>
  <c r="R98" i="9"/>
  <c r="S98" i="9" s="1"/>
  <c r="R132" i="9"/>
  <c r="S132" i="9" s="1"/>
  <c r="R250" i="9"/>
  <c r="S250" i="9" s="1"/>
  <c r="R105" i="9"/>
  <c r="S105" i="9" s="1"/>
  <c r="R150" i="9"/>
  <c r="S150" i="9" s="1"/>
  <c r="R195" i="9"/>
  <c r="S195" i="9" s="1"/>
  <c r="R112" i="9"/>
  <c r="S112" i="9" s="1"/>
  <c r="R282" i="9"/>
  <c r="S282" i="9" s="1"/>
  <c r="R175" i="9"/>
  <c r="S175" i="9" s="1"/>
  <c r="R63" i="9"/>
  <c r="S63" i="9" s="1"/>
  <c r="R92" i="9"/>
  <c r="S92" i="9" s="1"/>
  <c r="R66" i="9"/>
  <c r="S66" i="9" s="1"/>
  <c r="R101" i="9"/>
  <c r="S101" i="9" s="1"/>
  <c r="R239" i="9"/>
  <c r="S239" i="9" s="1"/>
  <c r="R118" i="9"/>
  <c r="S118" i="9" s="1"/>
  <c r="R204" i="9"/>
  <c r="S204" i="9" s="1"/>
  <c r="R184" i="9"/>
  <c r="S184" i="9" s="1"/>
  <c r="R27" i="9"/>
  <c r="S27" i="9" s="1"/>
  <c r="R164" i="9"/>
  <c r="S164" i="9" s="1"/>
  <c r="R129" i="9"/>
  <c r="S129" i="9" s="1"/>
  <c r="R262" i="9"/>
  <c r="S262" i="9" s="1"/>
  <c r="R11" i="9"/>
  <c r="S11" i="9" s="1"/>
  <c r="R237" i="9"/>
  <c r="S237" i="9" s="1"/>
  <c r="R158" i="9"/>
  <c r="S158" i="9" s="1"/>
  <c r="R28" i="9"/>
  <c r="S28" i="9" s="1"/>
  <c r="R140" i="9"/>
  <c r="S140" i="9" s="1"/>
  <c r="R125" i="9"/>
  <c r="S125" i="9" s="1"/>
  <c r="R298" i="9"/>
  <c r="S298" i="9" s="1"/>
  <c r="R82" i="9"/>
  <c r="S82" i="9" s="1"/>
  <c r="R139" i="9"/>
  <c r="S139" i="9" s="1"/>
  <c r="R72" i="9"/>
  <c r="S72" i="9" s="1"/>
  <c r="R274" i="9"/>
  <c r="S274" i="9" s="1"/>
  <c r="R123" i="9"/>
  <c r="S123" i="9" s="1"/>
  <c r="R51" i="9"/>
  <c r="S51" i="9" s="1"/>
  <c r="R222" i="9"/>
  <c r="S222" i="9" s="1"/>
  <c r="R143" i="9"/>
  <c r="S143" i="9" s="1"/>
  <c r="R191" i="9"/>
  <c r="S191" i="9" s="1"/>
  <c r="R179" i="9"/>
  <c r="S179" i="9" s="1"/>
  <c r="R114" i="9"/>
  <c r="S114" i="9" s="1"/>
  <c r="R270" i="9"/>
  <c r="S270" i="9" s="1"/>
  <c r="R62" i="9"/>
  <c r="S62" i="9" s="1"/>
  <c r="R203" i="9"/>
  <c r="S203" i="9" s="1"/>
  <c r="R46" i="9"/>
  <c r="S46" i="9" s="1"/>
  <c r="R39" i="9"/>
  <c r="S39" i="9" s="1"/>
  <c r="R196" i="9"/>
  <c r="S196" i="9" s="1"/>
  <c r="R43" i="9"/>
  <c r="S43" i="9" s="1"/>
  <c r="R124" i="9"/>
  <c r="S124" i="9" s="1"/>
  <c r="R59" i="9"/>
  <c r="S59" i="9" s="1"/>
  <c r="R189" i="9"/>
  <c r="S189" i="9" s="1"/>
  <c r="R279" i="9"/>
  <c r="S279" i="9" s="1"/>
  <c r="R78" i="9"/>
  <c r="S78" i="9" s="1"/>
  <c r="R225" i="9"/>
  <c r="S225" i="9" s="1"/>
  <c r="R242" i="9"/>
  <c r="S242" i="9" s="1"/>
  <c r="R269" i="9"/>
  <c r="S269" i="9" s="1"/>
  <c r="R280" i="9"/>
  <c r="S280" i="9" s="1"/>
  <c r="R69" i="9"/>
  <c r="S69" i="9" s="1"/>
  <c r="R120" i="9"/>
  <c r="S120" i="9" s="1"/>
  <c r="R128" i="9"/>
  <c r="S128" i="9" s="1"/>
  <c r="R147" i="9"/>
  <c r="S147" i="9" s="1"/>
  <c r="R229" i="9"/>
  <c r="S229" i="9" s="1"/>
  <c r="R256" i="9"/>
  <c r="S256" i="9" s="1"/>
  <c r="R211" i="9"/>
  <c r="S211" i="9" s="1"/>
  <c r="R288" i="9"/>
  <c r="S288" i="9" s="1"/>
  <c r="R186" i="9"/>
  <c r="S186" i="9" s="1"/>
  <c r="R171" i="9"/>
  <c r="S171" i="9" s="1"/>
  <c r="R37" i="9"/>
  <c r="S37" i="9" s="1"/>
  <c r="R96" i="9"/>
  <c r="S96" i="9" s="1"/>
  <c r="R272" i="9"/>
  <c r="S272" i="9" s="1"/>
  <c r="R223" i="9"/>
  <c r="S223" i="9" s="1"/>
  <c r="R79" i="9"/>
  <c r="S79" i="9" s="1"/>
  <c r="R218" i="9"/>
  <c r="S218" i="9" s="1"/>
  <c r="R183" i="9"/>
  <c r="S183" i="9" s="1"/>
  <c r="R174" i="9"/>
  <c r="S174" i="9" s="1"/>
  <c r="R217" i="9"/>
  <c r="S217" i="9" s="1"/>
  <c r="R45" i="9"/>
  <c r="S45" i="9" s="1"/>
  <c r="R34" i="9"/>
  <c r="S34" i="9" s="1"/>
  <c r="R170" i="9"/>
  <c r="S170" i="9" s="1"/>
  <c r="R187" i="9"/>
  <c r="S187" i="9" s="1"/>
  <c r="R277" i="9"/>
  <c r="S277" i="9" s="1"/>
  <c r="R216" i="9"/>
  <c r="S216" i="9" s="1"/>
  <c r="R295" i="9"/>
  <c r="S295" i="9" s="1"/>
  <c r="R60" i="9"/>
  <c r="S60" i="9" s="1"/>
  <c r="R110" i="9"/>
  <c r="S110" i="9" s="1"/>
  <c r="R265" i="9"/>
  <c r="S265" i="9" s="1"/>
  <c r="R173" i="9"/>
  <c r="S173" i="9" s="1"/>
  <c r="R284" i="9"/>
  <c r="S284" i="9" s="1"/>
  <c r="R208" i="9"/>
  <c r="S208" i="9" s="1"/>
  <c r="R104" i="9"/>
  <c r="S104" i="9" s="1"/>
  <c r="R286" i="9"/>
  <c r="S286" i="9" s="1"/>
  <c r="R95" i="9"/>
  <c r="S95" i="9" s="1"/>
  <c r="R177" i="9"/>
  <c r="S177" i="9" s="1"/>
  <c r="R13" i="9"/>
  <c r="S13" i="9" s="1"/>
  <c r="R294" i="9"/>
  <c r="S294" i="9" s="1"/>
  <c r="R17" i="9"/>
  <c r="S17" i="9" s="1"/>
  <c r="R233" i="9"/>
  <c r="S233" i="9" s="1"/>
  <c r="R93" i="9"/>
  <c r="S93" i="9" s="1"/>
  <c r="R206" i="9"/>
  <c r="S206" i="9" s="1"/>
  <c r="R50" i="9"/>
  <c r="S50" i="9" s="1"/>
  <c r="R301" i="9"/>
  <c r="S301" i="9" s="1"/>
  <c r="R84" i="9"/>
  <c r="S84" i="9" s="1"/>
  <c r="R57" i="9"/>
  <c r="S57" i="9" s="1"/>
  <c r="R76" i="9"/>
  <c r="S76" i="9" s="1"/>
  <c r="R264" i="9"/>
  <c r="S264" i="9" s="1"/>
  <c r="R199" i="9"/>
  <c r="S199" i="9" s="1"/>
  <c r="R285" i="9"/>
  <c r="S285" i="9" s="1"/>
  <c r="R131" i="9"/>
  <c r="S131" i="9" s="1"/>
  <c r="R255" i="9"/>
  <c r="S255" i="9" s="1"/>
  <c r="R148" i="9"/>
  <c r="S148" i="9" s="1"/>
  <c r="R55" i="9"/>
  <c r="S55" i="9" s="1"/>
  <c r="R180" i="9"/>
  <c r="S180" i="9" s="1"/>
  <c r="R297" i="9"/>
  <c r="S297" i="9" s="1"/>
  <c r="R300" i="9"/>
  <c r="S300" i="9" s="1"/>
  <c r="R23" i="9"/>
  <c r="S23" i="9" s="1"/>
  <c r="R185" i="9"/>
  <c r="S185" i="9" s="1"/>
  <c r="R232" i="9"/>
  <c r="S232" i="9" s="1"/>
  <c r="R122" i="9"/>
  <c r="S122" i="9" s="1"/>
  <c r="R141" i="9"/>
  <c r="S141" i="9" s="1"/>
  <c r="R49" i="9"/>
  <c r="S49" i="9" s="1"/>
  <c r="R210" i="9"/>
  <c r="S210" i="9" s="1"/>
  <c r="R221" i="9"/>
  <c r="S221" i="9" s="1"/>
  <c r="R137" i="9"/>
  <c r="S137" i="9" s="1"/>
  <c r="R65" i="9"/>
  <c r="S65" i="9" s="1"/>
  <c r="R258" i="9"/>
  <c r="S258" i="9" s="1"/>
  <c r="R190" i="9"/>
  <c r="S190" i="9" s="1"/>
  <c r="R107" i="9"/>
  <c r="S107" i="9" s="1"/>
  <c r="R249" i="9"/>
  <c r="S249" i="9" s="1"/>
  <c r="R299" i="9"/>
  <c r="S299" i="9" s="1"/>
  <c r="R116" i="9"/>
  <c r="S116" i="9" s="1"/>
  <c r="R162" i="9"/>
  <c r="S162" i="9" s="1"/>
  <c r="R135" i="9"/>
  <c r="S135" i="9" s="1"/>
  <c r="R127" i="9"/>
  <c r="S127" i="9" s="1"/>
  <c r="R121" i="9"/>
  <c r="S121" i="9" s="1"/>
  <c r="R36" i="9"/>
  <c r="S36" i="9" s="1"/>
  <c r="R268" i="9"/>
  <c r="R29" i="9"/>
  <c r="S29" i="9" s="1"/>
  <c r="R278" i="9"/>
  <c r="S278" i="9" s="1"/>
  <c r="R231" i="9"/>
  <c r="S231" i="9" s="1"/>
  <c r="R67" i="9"/>
  <c r="S67" i="9" s="1"/>
  <c r="R115" i="9"/>
  <c r="S115" i="9" s="1"/>
  <c r="R30" i="9"/>
  <c r="S30" i="9" s="1"/>
  <c r="R254" i="9"/>
  <c r="S254" i="9" s="1"/>
  <c r="R40" i="9"/>
  <c r="S40" i="9" s="1"/>
  <c r="Q8" i="9"/>
  <c r="AB302" i="53"/>
  <c r="R106" i="9"/>
  <c r="S106" i="9" s="1"/>
  <c r="R248" i="9"/>
  <c r="S248" i="9" s="1"/>
  <c r="R192" i="9"/>
  <c r="S192" i="9" s="1"/>
  <c r="R75" i="9"/>
  <c r="S75" i="9" s="1"/>
  <c r="P8" i="9"/>
  <c r="AA302" i="53"/>
  <c r="R252" i="9"/>
  <c r="S252" i="9" s="1"/>
  <c r="R88" i="9"/>
  <c r="S88" i="9" s="1"/>
  <c r="R87" i="9"/>
  <c r="S87" i="9" s="1"/>
  <c r="R130" i="9"/>
  <c r="S130" i="9" s="1"/>
  <c r="R296" i="9"/>
  <c r="S296" i="9" s="1"/>
  <c r="R21" i="9"/>
  <c r="S21" i="9" s="1"/>
  <c r="R165" i="9"/>
  <c r="S165" i="9" s="1"/>
  <c r="R14" i="9"/>
  <c r="S14" i="9" s="1"/>
  <c r="R48" i="9"/>
  <c r="S48" i="9" s="1"/>
  <c r="R70" i="9"/>
  <c r="S70" i="9" s="1"/>
  <c r="R58" i="9"/>
  <c r="S58" i="9" s="1"/>
  <c r="R10" i="9"/>
  <c r="S10" i="9" s="1"/>
  <c r="R33" i="9"/>
  <c r="S33" i="9" s="1"/>
  <c r="R287" i="9"/>
  <c r="S287" i="9" s="1"/>
  <c r="R119" i="9"/>
  <c r="S119" i="9" s="1"/>
  <c r="R178" i="9"/>
  <c r="S178" i="9" s="1"/>
  <c r="R290" i="9"/>
  <c r="S290" i="9" s="1"/>
  <c r="R151" i="9"/>
  <c r="S151" i="9" s="1"/>
  <c r="R219" i="9"/>
  <c r="S219" i="9" s="1"/>
  <c r="R201" i="9"/>
  <c r="S201" i="9" s="1"/>
  <c r="R133" i="9"/>
  <c r="S133" i="9" s="1"/>
  <c r="R89" i="9"/>
  <c r="S89" i="9" s="1"/>
  <c r="R241" i="9"/>
  <c r="S241" i="9" s="1"/>
  <c r="R91" i="9"/>
  <c r="S91" i="9" s="1"/>
  <c r="R197" i="9"/>
  <c r="S197" i="9" s="1"/>
  <c r="R32" i="9"/>
  <c r="S32" i="9" s="1"/>
  <c r="R94" i="9"/>
  <c r="S94" i="9" s="1"/>
  <c r="R247" i="9"/>
  <c r="S247" i="9" s="1"/>
  <c r="R259" i="9"/>
  <c r="S259" i="9" s="1"/>
  <c r="R85" i="9"/>
  <c r="S85" i="9" s="1"/>
  <c r="R291" i="9"/>
  <c r="S291" i="9" s="1"/>
  <c r="R263" i="9"/>
  <c r="S263" i="9" s="1"/>
  <c r="R47" i="9"/>
  <c r="S47" i="9" s="1"/>
  <c r="R209" i="9"/>
  <c r="S209" i="9" s="1"/>
  <c r="R182" i="9"/>
  <c r="S182" i="9" s="1"/>
  <c r="R168" i="9"/>
  <c r="S168" i="9" s="1"/>
  <c r="R22" i="9"/>
  <c r="S22" i="9" s="1"/>
  <c r="R97" i="9"/>
  <c r="S97" i="9" s="1"/>
  <c r="R228" i="9"/>
  <c r="S228" i="9" s="1"/>
  <c r="R163" i="9"/>
  <c r="S163" i="9" s="1"/>
  <c r="R146" i="9"/>
  <c r="S146" i="9" s="1"/>
  <c r="R292" i="9"/>
  <c r="S292" i="9" s="1"/>
  <c r="R236" i="9"/>
  <c r="S236" i="9" s="1"/>
  <c r="R172" i="9"/>
  <c r="S172" i="9" s="1"/>
  <c r="R20" i="9"/>
  <c r="S20" i="9" s="1"/>
  <c r="R271" i="9"/>
  <c r="S271" i="9" s="1"/>
  <c r="R81" i="9"/>
  <c r="S81" i="9" s="1"/>
  <c r="R111" i="9"/>
  <c r="S111" i="9" s="1"/>
  <c r="R281" i="9"/>
  <c r="S281" i="9" s="1"/>
  <c r="R9" i="9"/>
  <c r="S9" i="9" s="1"/>
  <c r="R52" i="9"/>
  <c r="S52" i="9" s="1"/>
  <c r="R26" i="9"/>
  <c r="S26" i="9" s="1"/>
  <c r="R166" i="9"/>
  <c r="S166" i="9" s="1"/>
  <c r="R99" i="9"/>
  <c r="S99" i="9" s="1"/>
  <c r="R138" i="9"/>
  <c r="S138" i="9" s="1"/>
  <c r="R157" i="9"/>
  <c r="S157" i="9" s="1"/>
  <c r="R169" i="9"/>
  <c r="S169" i="9" s="1"/>
  <c r="R215" i="9"/>
  <c r="S215" i="9" s="1"/>
  <c r="R149" i="9"/>
  <c r="S149" i="9" s="1"/>
  <c r="R61" i="9"/>
  <c r="S61" i="9" s="1"/>
  <c r="R213" i="9"/>
  <c r="S213" i="9" s="1"/>
  <c r="R25" i="9"/>
  <c r="S25" i="9" s="1"/>
  <c r="R160" i="9"/>
  <c r="S160" i="9" s="1"/>
  <c r="R126" i="9"/>
  <c r="S126" i="9" s="1"/>
  <c r="R145" i="9"/>
  <c r="S145" i="9" s="1"/>
  <c r="R31" i="9"/>
  <c r="S31" i="9" s="1"/>
  <c r="R74" i="9"/>
  <c r="S74" i="9" s="1"/>
  <c r="R253" i="9"/>
  <c r="S253" i="9" s="1"/>
  <c r="R154" i="9"/>
  <c r="S154" i="9" s="1"/>
  <c r="R54" i="9"/>
  <c r="S54" i="9" s="1"/>
  <c r="R224" i="9"/>
  <c r="S224" i="9" s="1"/>
  <c r="R113" i="9"/>
  <c r="S113" i="9" s="1"/>
  <c r="R64" i="9"/>
  <c r="S64" i="9" s="1"/>
  <c r="R108" i="9"/>
  <c r="S108" i="9" s="1"/>
  <c r="R273" i="9"/>
  <c r="S273" i="9" s="1"/>
  <c r="R8" i="9" l="1"/>
  <c r="Q302" i="9"/>
  <c r="S268" i="9"/>
  <c r="P302" i="9"/>
  <c r="S8" i="9" l="1"/>
  <c r="R302" i="9"/>
  <c r="V4" i="9" s="1"/>
  <c r="T112" i="9" l="1"/>
  <c r="U112" i="9" s="1"/>
  <c r="T235" i="9"/>
  <c r="U235" i="9" s="1"/>
  <c r="T258" i="9"/>
  <c r="U258" i="9" s="1"/>
  <c r="T255" i="9"/>
  <c r="U255" i="9" s="1"/>
  <c r="T110" i="9"/>
  <c r="U110" i="9" s="1"/>
  <c r="T209" i="9"/>
  <c r="U209" i="9" s="1"/>
  <c r="T59" i="9"/>
  <c r="U59" i="9" s="1"/>
  <c r="T26" i="9"/>
  <c r="U26" i="9" s="1"/>
  <c r="T136" i="9"/>
  <c r="U136" i="9" s="1"/>
  <c r="T41" i="9"/>
  <c r="U41" i="9" s="1"/>
  <c r="T138" i="9"/>
  <c r="U138" i="9" s="1"/>
  <c r="T14" i="9"/>
  <c r="U14" i="9" s="1"/>
  <c r="T148" i="9"/>
  <c r="U148" i="9" s="1"/>
  <c r="T204" i="9"/>
  <c r="U204" i="9" s="1"/>
  <c r="T287" i="9"/>
  <c r="U287" i="9" s="1"/>
  <c r="T161" i="9"/>
  <c r="U161" i="9" s="1"/>
  <c r="T145" i="9"/>
  <c r="U145" i="9" s="1"/>
  <c r="T111" i="9"/>
  <c r="U111" i="9" s="1"/>
  <c r="T265" i="9"/>
  <c r="U265" i="9" s="1"/>
  <c r="T199" i="9"/>
  <c r="U199" i="9" s="1"/>
  <c r="T70" i="9"/>
  <c r="U70" i="9" s="1"/>
  <c r="T281" i="9"/>
  <c r="U281" i="9" s="1"/>
  <c r="T121" i="9"/>
  <c r="U121" i="9" s="1"/>
  <c r="T248" i="9"/>
  <c r="U248" i="9" s="1"/>
  <c r="T117" i="9"/>
  <c r="U117" i="9" s="1"/>
  <c r="T128" i="9"/>
  <c r="U128" i="9" s="1"/>
  <c r="T146" i="9"/>
  <c r="U146" i="9" s="1"/>
  <c r="T279" i="9"/>
  <c r="U279" i="9" s="1"/>
  <c r="T192" i="9"/>
  <c r="U192" i="9" s="1"/>
  <c r="T46" i="9"/>
  <c r="U46" i="9" s="1"/>
  <c r="T81" i="9"/>
  <c r="U81" i="9" s="1"/>
  <c r="T105" i="9"/>
  <c r="U105" i="9" s="1"/>
  <c r="T55" i="9"/>
  <c r="U55" i="9" s="1"/>
  <c r="T165" i="9"/>
  <c r="U165" i="9" s="1"/>
  <c r="T18" i="9"/>
  <c r="U18" i="9" s="1"/>
  <c r="T202" i="9"/>
  <c r="U202" i="9" s="1"/>
  <c r="T182" i="9"/>
  <c r="U182" i="9" s="1"/>
  <c r="T103" i="9"/>
  <c r="U103" i="9" s="1"/>
  <c r="T297" i="9"/>
  <c r="U297" i="9" s="1"/>
  <c r="T51" i="9"/>
  <c r="U51" i="9" s="1"/>
  <c r="T212" i="9"/>
  <c r="U212" i="9" s="1"/>
  <c r="T222" i="9"/>
  <c r="U222" i="9" s="1"/>
  <c r="T278" i="9"/>
  <c r="U278" i="9" s="1"/>
  <c r="T135" i="9"/>
  <c r="U135" i="9" s="1"/>
  <c r="T243" i="9"/>
  <c r="U243" i="9" s="1"/>
  <c r="T273" i="9"/>
  <c r="U273" i="9" s="1"/>
  <c r="T115" i="9"/>
  <c r="U115" i="9" s="1"/>
  <c r="T57" i="9"/>
  <c r="U57" i="9" s="1"/>
  <c r="T154" i="9"/>
  <c r="U154" i="9" s="1"/>
  <c r="T122" i="9"/>
  <c r="U122" i="9" s="1"/>
  <c r="T25" i="9"/>
  <c r="U25" i="9" s="1"/>
  <c r="T149" i="9"/>
  <c r="U149" i="9" s="1"/>
  <c r="T107" i="9"/>
  <c r="U107" i="9" s="1"/>
  <c r="T219" i="9"/>
  <c r="U219" i="9" s="1"/>
  <c r="T208" i="9"/>
  <c r="U208" i="9" s="1"/>
  <c r="T53" i="9"/>
  <c r="U53" i="9" s="1"/>
  <c r="T261" i="9"/>
  <c r="U261" i="9" s="1"/>
  <c r="T97" i="9"/>
  <c r="U97" i="9" s="1"/>
  <c r="T11" i="9"/>
  <c r="U11" i="9" s="1"/>
  <c r="T240" i="9"/>
  <c r="U240" i="9" s="1"/>
  <c r="T141" i="9"/>
  <c r="U141" i="9" s="1"/>
  <c r="T20" i="9"/>
  <c r="U20" i="9" s="1"/>
  <c r="T184" i="9"/>
  <c r="U184" i="9" s="1"/>
  <c r="T42" i="9"/>
  <c r="U42" i="9" s="1"/>
  <c r="T125" i="9"/>
  <c r="U125" i="9" s="1"/>
  <c r="T147" i="9"/>
  <c r="U147" i="9" s="1"/>
  <c r="T24" i="9"/>
  <c r="U24" i="9" s="1"/>
  <c r="T229" i="9"/>
  <c r="U229" i="9" s="1"/>
  <c r="T193" i="9"/>
  <c r="U193" i="9" s="1"/>
  <c r="T85" i="9"/>
  <c r="U85" i="9" s="1"/>
  <c r="T155" i="9"/>
  <c r="U155" i="9" s="1"/>
  <c r="T231" i="9"/>
  <c r="U231" i="9" s="1"/>
  <c r="T164" i="9"/>
  <c r="U164" i="9" s="1"/>
  <c r="T16" i="9"/>
  <c r="U16" i="9" s="1"/>
  <c r="T91" i="9"/>
  <c r="U91" i="9" s="1"/>
  <c r="T189" i="9"/>
  <c r="U189" i="9" s="1"/>
  <c r="T257" i="9"/>
  <c r="U257" i="9" s="1"/>
  <c r="T201" i="9"/>
  <c r="U201" i="9" s="1"/>
  <c r="T132" i="9"/>
  <c r="U132" i="9" s="1"/>
  <c r="T224" i="9"/>
  <c r="U224" i="9" s="1"/>
  <c r="T181" i="9"/>
  <c r="U181" i="9" s="1"/>
  <c r="T116" i="9"/>
  <c r="U116" i="9" s="1"/>
  <c r="T84" i="9"/>
  <c r="U84" i="9" s="1"/>
  <c r="T205" i="9"/>
  <c r="U205" i="9" s="1"/>
  <c r="T158" i="9"/>
  <c r="U158" i="9" s="1"/>
  <c r="T254" i="9"/>
  <c r="U254" i="9" s="1"/>
  <c r="T78" i="9"/>
  <c r="U78" i="9" s="1"/>
  <c r="T234" i="9"/>
  <c r="U234" i="9" s="1"/>
  <c r="T120" i="9"/>
  <c r="U120" i="9" s="1"/>
  <c r="T66" i="9"/>
  <c r="U66" i="9" s="1"/>
  <c r="T191" i="9"/>
  <c r="U191" i="9" s="1"/>
  <c r="T98" i="9"/>
  <c r="U98" i="9" s="1"/>
  <c r="T61" i="9"/>
  <c r="U61" i="9" s="1"/>
  <c r="T293" i="9"/>
  <c r="U293" i="9" s="1"/>
  <c r="T270" i="9"/>
  <c r="U270" i="9" s="1"/>
  <c r="T143" i="9"/>
  <c r="U143" i="9" s="1"/>
  <c r="T223" i="9"/>
  <c r="U223" i="9" s="1"/>
  <c r="T71" i="9"/>
  <c r="U71" i="9" s="1"/>
  <c r="T236" i="9"/>
  <c r="U236" i="9" s="1"/>
  <c r="T298" i="9"/>
  <c r="U298" i="9" s="1"/>
  <c r="T108" i="9"/>
  <c r="U108" i="9" s="1"/>
  <c r="T163" i="9"/>
  <c r="U163" i="9" s="1"/>
  <c r="T251" i="9"/>
  <c r="U251" i="9" s="1"/>
  <c r="T44" i="9"/>
  <c r="U44" i="9" s="1"/>
  <c r="T83" i="9"/>
  <c r="U83" i="9" s="1"/>
  <c r="T289" i="9"/>
  <c r="U289" i="9" s="1"/>
  <c r="T113" i="9"/>
  <c r="U113" i="9" s="1"/>
  <c r="T271" i="9"/>
  <c r="U271" i="9" s="1"/>
  <c r="T156" i="9"/>
  <c r="U156" i="9" s="1"/>
  <c r="T79" i="9"/>
  <c r="U79" i="9" s="1"/>
  <c r="T123" i="9"/>
  <c r="U123" i="9" s="1"/>
  <c r="T94" i="9"/>
  <c r="U94" i="9" s="1"/>
  <c r="T50" i="9"/>
  <c r="U50" i="9" s="1"/>
  <c r="T90" i="9"/>
  <c r="U90" i="9" s="1"/>
  <c r="T39" i="9"/>
  <c r="U39" i="9" s="1"/>
  <c r="T36" i="9"/>
  <c r="U36" i="9" s="1"/>
  <c r="T266" i="9"/>
  <c r="U266" i="9" s="1"/>
  <c r="T22" i="9"/>
  <c r="U22" i="9" s="1"/>
  <c r="T245" i="9"/>
  <c r="U245" i="9" s="1"/>
  <c r="T8" i="9"/>
  <c r="U8" i="9" s="1"/>
  <c r="T137" i="9"/>
  <c r="U137" i="9" s="1"/>
  <c r="T10" i="9"/>
  <c r="U10" i="9" s="1"/>
  <c r="T142" i="9"/>
  <c r="U142" i="9" s="1"/>
  <c r="T206" i="9"/>
  <c r="U206" i="9" s="1"/>
  <c r="T60" i="9"/>
  <c r="U60" i="9" s="1"/>
  <c r="T35" i="9"/>
  <c r="U35" i="9" s="1"/>
  <c r="T169" i="9"/>
  <c r="U169" i="9" s="1"/>
  <c r="T139" i="9"/>
  <c r="U139" i="9" s="1"/>
  <c r="T242" i="9"/>
  <c r="U242" i="9" s="1"/>
  <c r="T300" i="9"/>
  <c r="U300" i="9" s="1"/>
  <c r="T152" i="9"/>
  <c r="U152" i="9" s="1"/>
  <c r="T213" i="9"/>
  <c r="U213" i="9" s="1"/>
  <c r="T216" i="9"/>
  <c r="U216" i="9" s="1"/>
  <c r="T284" i="9"/>
  <c r="U284" i="9" s="1"/>
  <c r="T195" i="9"/>
  <c r="U195" i="9" s="1"/>
  <c r="T49" i="9"/>
  <c r="U49" i="9" s="1"/>
  <c r="T109" i="9"/>
  <c r="U109" i="9" s="1"/>
  <c r="T96" i="9"/>
  <c r="U96" i="9" s="1"/>
  <c r="T93" i="9"/>
  <c r="U93" i="9" s="1"/>
  <c r="T249" i="9"/>
  <c r="U249" i="9" s="1"/>
  <c r="T290" i="9"/>
  <c r="U290" i="9" s="1"/>
  <c r="T237" i="9"/>
  <c r="U237" i="9" s="1"/>
  <c r="T82" i="9"/>
  <c r="U82" i="9" s="1"/>
  <c r="T178" i="9"/>
  <c r="U178" i="9" s="1"/>
  <c r="T259" i="9"/>
  <c r="U259" i="9" s="1"/>
  <c r="T69" i="9"/>
  <c r="U69" i="9" s="1"/>
  <c r="T75" i="9"/>
  <c r="U75" i="9" s="1"/>
  <c r="T48" i="9"/>
  <c r="U48" i="9" s="1"/>
  <c r="T173" i="9"/>
  <c r="U173" i="9" s="1"/>
  <c r="T200" i="9"/>
  <c r="U200" i="9" s="1"/>
  <c r="T127" i="9"/>
  <c r="U127" i="9" s="1"/>
  <c r="T72" i="9"/>
  <c r="U72" i="9" s="1"/>
  <c r="T211" i="9"/>
  <c r="U211" i="9" s="1"/>
  <c r="T170" i="9"/>
  <c r="U170" i="9" s="1"/>
  <c r="T37" i="9"/>
  <c r="U37" i="9" s="1"/>
  <c r="T100" i="9"/>
  <c r="U100" i="9" s="1"/>
  <c r="T218" i="9"/>
  <c r="U218" i="9" s="1"/>
  <c r="T253" i="9"/>
  <c r="U253" i="9" s="1"/>
  <c r="T239" i="9"/>
  <c r="U239" i="9" s="1"/>
  <c r="T34" i="9"/>
  <c r="U34" i="9" s="1"/>
  <c r="T268" i="9"/>
  <c r="U268" i="9" s="1"/>
  <c r="T27" i="9"/>
  <c r="U27" i="9" s="1"/>
  <c r="T74" i="9"/>
  <c r="U74" i="9" s="1"/>
  <c r="T232" i="9"/>
  <c r="U232" i="9" s="1"/>
  <c r="T185" i="9"/>
  <c r="U185" i="9" s="1"/>
  <c r="T252" i="9"/>
  <c r="U252" i="9" s="1"/>
  <c r="T260" i="9"/>
  <c r="U260" i="9" s="1"/>
  <c r="T176" i="9"/>
  <c r="U176" i="9" s="1"/>
  <c r="T129" i="9"/>
  <c r="U129" i="9" s="1"/>
  <c r="T126" i="9"/>
  <c r="U126" i="9" s="1"/>
  <c r="T159" i="9"/>
  <c r="U159" i="9" s="1"/>
  <c r="T225" i="9"/>
  <c r="U225" i="9" s="1"/>
  <c r="T292" i="9"/>
  <c r="U292" i="9" s="1"/>
  <c r="T40" i="9"/>
  <c r="U40" i="9" s="1"/>
  <c r="T153" i="9"/>
  <c r="U153" i="9" s="1"/>
  <c r="T104" i="9"/>
  <c r="U104" i="9" s="1"/>
  <c r="T33" i="9"/>
  <c r="U33" i="9" s="1"/>
  <c r="T269" i="9"/>
  <c r="U269" i="9" s="1"/>
  <c r="T168" i="9"/>
  <c r="U168" i="9" s="1"/>
  <c r="T197" i="9"/>
  <c r="U197" i="9" s="1"/>
  <c r="T294" i="9"/>
  <c r="U294" i="9" s="1"/>
  <c r="T194" i="9"/>
  <c r="U194" i="9" s="1"/>
  <c r="T64" i="9"/>
  <c r="U64" i="9" s="1"/>
  <c r="T230" i="9"/>
  <c r="U230" i="9" s="1"/>
  <c r="T86" i="9"/>
  <c r="U86" i="9" s="1"/>
  <c r="T31" i="9"/>
  <c r="U31" i="9" s="1"/>
  <c r="T196" i="9"/>
  <c r="U196" i="9" s="1"/>
  <c r="T29" i="9"/>
  <c r="U29" i="9" s="1"/>
  <c r="T54" i="9"/>
  <c r="U54" i="9" s="1"/>
  <c r="T179" i="9"/>
  <c r="U179" i="9" s="1"/>
  <c r="T220" i="9"/>
  <c r="U220" i="9" s="1"/>
  <c r="T102" i="9"/>
  <c r="U102" i="9" s="1"/>
  <c r="T262" i="9"/>
  <c r="U262" i="9" s="1"/>
  <c r="T80" i="9"/>
  <c r="U80" i="9" s="1"/>
  <c r="T167" i="9"/>
  <c r="U167" i="9" s="1"/>
  <c r="T221" i="9"/>
  <c r="U221" i="9" s="1"/>
  <c r="T188" i="9"/>
  <c r="U188" i="9" s="1"/>
  <c r="T119" i="9"/>
  <c r="U119" i="9" s="1"/>
  <c r="T19" i="9"/>
  <c r="U19" i="9" s="1"/>
  <c r="T162" i="9"/>
  <c r="U162" i="9" s="1"/>
  <c r="T180" i="9"/>
  <c r="U180" i="9" s="1"/>
  <c r="T274" i="9"/>
  <c r="U274" i="9" s="1"/>
  <c r="T275" i="9"/>
  <c r="U275" i="9" s="1"/>
  <c r="T299" i="9"/>
  <c r="U299" i="9" s="1"/>
  <c r="T89" i="9"/>
  <c r="U89" i="9" s="1"/>
  <c r="T198" i="9"/>
  <c r="U198" i="9" s="1"/>
  <c r="T45" i="9"/>
  <c r="U45" i="9" s="1"/>
  <c r="T174" i="9"/>
  <c r="U174" i="9" s="1"/>
  <c r="T56" i="9"/>
  <c r="U56" i="9" s="1"/>
  <c r="T99" i="9"/>
  <c r="U99" i="9" s="1"/>
  <c r="T88" i="9"/>
  <c r="U88" i="9" s="1"/>
  <c r="T9" i="9"/>
  <c r="U9" i="9" s="1"/>
  <c r="T140" i="9"/>
  <c r="U140" i="9" s="1"/>
  <c r="T150" i="9"/>
  <c r="U150" i="9" s="1"/>
  <c r="T62" i="9"/>
  <c r="U62" i="9" s="1"/>
  <c r="T30" i="9"/>
  <c r="U30" i="9" s="1"/>
  <c r="T203" i="9"/>
  <c r="U203" i="9" s="1"/>
  <c r="T144" i="9"/>
  <c r="U144" i="9" s="1"/>
  <c r="T172" i="9"/>
  <c r="U172" i="9" s="1"/>
  <c r="T207" i="9"/>
  <c r="U207" i="9" s="1"/>
  <c r="T250" i="9"/>
  <c r="T246" i="9"/>
  <c r="U246" i="9" s="1"/>
  <c r="T160" i="9"/>
  <c r="U160" i="9" s="1"/>
  <c r="T131" i="9"/>
  <c r="U131" i="9" s="1"/>
  <c r="T73" i="9"/>
  <c r="U73" i="9" s="1"/>
  <c r="T177" i="9"/>
  <c r="U177" i="9" s="1"/>
  <c r="T65" i="9"/>
  <c r="U65" i="9" s="1"/>
  <c r="T118" i="9"/>
  <c r="U118" i="9" s="1"/>
  <c r="T244" i="9"/>
  <c r="U244" i="9" s="1"/>
  <c r="T130" i="9"/>
  <c r="U130" i="9" s="1"/>
  <c r="T134" i="9"/>
  <c r="U134" i="9" s="1"/>
  <c r="T47" i="9"/>
  <c r="U47" i="9" s="1"/>
  <c r="T187" i="9"/>
  <c r="U187" i="9" s="1"/>
  <c r="T175" i="9"/>
  <c r="U175" i="9" s="1"/>
  <c r="T183" i="9"/>
  <c r="U183" i="9" s="1"/>
  <c r="T13" i="9"/>
  <c r="U13" i="9" s="1"/>
  <c r="T32" i="9"/>
  <c r="U32" i="9" s="1"/>
  <c r="T157" i="9"/>
  <c r="U157" i="9" s="1"/>
  <c r="T227" i="9"/>
  <c r="U227" i="9" s="1"/>
  <c r="T76" i="9"/>
  <c r="U76" i="9" s="1"/>
  <c r="T295" i="9"/>
  <c r="U295" i="9" s="1"/>
  <c r="T210" i="9"/>
  <c r="U210" i="9" s="1"/>
  <c r="T263" i="9"/>
  <c r="U263" i="9" s="1"/>
  <c r="T291" i="9"/>
  <c r="U291" i="9" s="1"/>
  <c r="T68" i="9"/>
  <c r="U68" i="9" s="1"/>
  <c r="T233" i="9"/>
  <c r="U233" i="9" s="1"/>
  <c r="T12" i="9"/>
  <c r="U12" i="9" s="1"/>
  <c r="T171" i="9"/>
  <c r="U171" i="9" s="1"/>
  <c r="T296" i="9"/>
  <c r="U296" i="9" s="1"/>
  <c r="T151" i="9"/>
  <c r="U151" i="9" s="1"/>
  <c r="T63" i="9"/>
  <c r="U63" i="9" s="1"/>
  <c r="T17" i="9"/>
  <c r="U17" i="9" s="1"/>
  <c r="T38" i="9"/>
  <c r="U38" i="9" s="1"/>
  <c r="T238" i="9"/>
  <c r="U238" i="9" s="1"/>
  <c r="T228" i="9"/>
  <c r="U228" i="9" s="1"/>
  <c r="T114" i="9"/>
  <c r="U114" i="9" s="1"/>
  <c r="T87" i="9"/>
  <c r="U87" i="9" s="1"/>
  <c r="T276" i="9"/>
  <c r="U276" i="9" s="1"/>
  <c r="T43" i="9"/>
  <c r="U43" i="9" s="1"/>
  <c r="T272" i="9"/>
  <c r="U272" i="9" s="1"/>
  <c r="T214" i="9"/>
  <c r="U214" i="9" s="1"/>
  <c r="T277" i="9"/>
  <c r="U277" i="9" s="1"/>
  <c r="T283" i="9"/>
  <c r="U283" i="9" s="1"/>
  <c r="T241" i="9"/>
  <c r="U241" i="9" s="1"/>
  <c r="T190" i="9"/>
  <c r="U190" i="9" s="1"/>
  <c r="T217" i="9"/>
  <c r="U217" i="9" s="1"/>
  <c r="T133" i="9"/>
  <c r="U133" i="9" s="1"/>
  <c r="T301" i="9"/>
  <c r="U301" i="9" s="1"/>
  <c r="T215" i="9"/>
  <c r="U215" i="9" s="1"/>
  <c r="T52" i="9"/>
  <c r="U52" i="9" s="1"/>
  <c r="T186" i="9"/>
  <c r="U186" i="9" s="1"/>
  <c r="T256" i="9"/>
  <c r="U256" i="9" s="1"/>
  <c r="T77" i="9"/>
  <c r="U77" i="9" s="1"/>
  <c r="T58" i="9"/>
  <c r="U58" i="9" s="1"/>
  <c r="T106" i="9"/>
  <c r="U106" i="9" s="1"/>
  <c r="T15" i="9"/>
  <c r="U15" i="9" s="1"/>
  <c r="T92" i="9"/>
  <c r="U92" i="9" s="1"/>
  <c r="T285" i="9"/>
  <c r="U285" i="9" s="1"/>
  <c r="T101" i="9"/>
  <c r="U101" i="9" s="1"/>
  <c r="T282" i="9"/>
  <c r="U282" i="9" s="1"/>
  <c r="T124" i="9"/>
  <c r="U124" i="9" s="1"/>
  <c r="T247" i="9"/>
  <c r="U247" i="9" s="1"/>
  <c r="T280" i="9"/>
  <c r="U280" i="9" s="1"/>
  <c r="T226" i="9"/>
  <c r="U226" i="9" s="1"/>
  <c r="T267" i="9"/>
  <c r="U267" i="9" s="1"/>
  <c r="T28" i="9"/>
  <c r="U28" i="9" s="1"/>
  <c r="T21" i="9"/>
  <c r="U21" i="9" s="1"/>
  <c r="T166" i="9"/>
  <c r="U166" i="9" s="1"/>
  <c r="T95" i="9"/>
  <c r="U95" i="9" s="1"/>
  <c r="T286" i="9"/>
  <c r="U286" i="9" s="1"/>
  <c r="T23" i="9"/>
  <c r="U23" i="9" s="1"/>
  <c r="T288" i="9"/>
  <c r="U288" i="9" s="1"/>
  <c r="T264" i="9"/>
  <c r="U264" i="9" s="1"/>
  <c r="T67" i="9"/>
  <c r="U67" i="9" s="1"/>
  <c r="U250" i="9" l="1"/>
  <c r="V250" i="9" s="1"/>
  <c r="X250" i="9" s="1"/>
  <c r="Y250" i="9" s="1"/>
  <c r="N27" i="45"/>
  <c r="N29" i="45" s="1"/>
  <c r="I30" i="45" s="1"/>
  <c r="V151" i="9"/>
  <c r="X151" i="9" s="1"/>
  <c r="Y151" i="9" s="1"/>
  <c r="V188" i="9"/>
  <c r="X188" i="9" s="1"/>
  <c r="Y188" i="9" s="1"/>
  <c r="V294" i="9"/>
  <c r="X294" i="9" s="1"/>
  <c r="Y294" i="9" s="1"/>
  <c r="V292" i="9"/>
  <c r="X292" i="9" s="1"/>
  <c r="Y292" i="9" s="1"/>
  <c r="V185" i="9"/>
  <c r="X185" i="9" s="1"/>
  <c r="Y185" i="9" s="1"/>
  <c r="V218" i="9"/>
  <c r="X218" i="9" s="1"/>
  <c r="Y218" i="9" s="1"/>
  <c r="V173" i="9"/>
  <c r="X173" i="9" s="1"/>
  <c r="Y173" i="9" s="1"/>
  <c r="V290" i="9"/>
  <c r="X290" i="9" s="1"/>
  <c r="Y290" i="9" s="1"/>
  <c r="V216" i="9"/>
  <c r="X216" i="9" s="1"/>
  <c r="Y216" i="9" s="1"/>
  <c r="V60" i="9"/>
  <c r="X60" i="9" s="1"/>
  <c r="Y60" i="9" s="1"/>
  <c r="V266" i="9"/>
  <c r="X266" i="9" s="1"/>
  <c r="Y266" i="9" s="1"/>
  <c r="V156" i="9"/>
  <c r="X156" i="9" s="1"/>
  <c r="Y156" i="9" s="1"/>
  <c r="V108" i="9"/>
  <c r="X108" i="9" s="1"/>
  <c r="Y108" i="9" s="1"/>
  <c r="V61" i="9"/>
  <c r="X61" i="9" s="1"/>
  <c r="Y61" i="9" s="1"/>
  <c r="V158" i="9"/>
  <c r="X158" i="9" s="1"/>
  <c r="Y158" i="9" s="1"/>
  <c r="V257" i="9"/>
  <c r="X257" i="9" s="1"/>
  <c r="Y257" i="9" s="1"/>
  <c r="V193" i="9"/>
  <c r="X193" i="9" s="1"/>
  <c r="Y193" i="9" s="1"/>
  <c r="V141" i="9"/>
  <c r="X141" i="9" s="1"/>
  <c r="Y141" i="9" s="1"/>
  <c r="V107" i="9"/>
  <c r="X107" i="9" s="1"/>
  <c r="Y107" i="9" s="1"/>
  <c r="V115" i="9"/>
  <c r="X115" i="9" s="1"/>
  <c r="Y115" i="9" s="1"/>
  <c r="V297" i="9"/>
  <c r="X297" i="9" s="1"/>
  <c r="Y297" i="9" s="1"/>
  <c r="V81" i="9"/>
  <c r="X81" i="9" s="1"/>
  <c r="Y81" i="9" s="1"/>
  <c r="V248" i="9"/>
  <c r="X248" i="9" s="1"/>
  <c r="Y248" i="9" s="1"/>
  <c r="V161" i="9"/>
  <c r="X161" i="9" s="1"/>
  <c r="Y161" i="9" s="1"/>
  <c r="V26" i="9"/>
  <c r="X26" i="9" s="1"/>
  <c r="Y26" i="9" s="1"/>
  <c r="V276" i="9"/>
  <c r="X276" i="9" s="1"/>
  <c r="Y276" i="9" s="1"/>
  <c r="V172" i="9"/>
  <c r="X172" i="9" s="1"/>
  <c r="Y172" i="9" s="1"/>
  <c r="V77" i="9"/>
  <c r="X77" i="9" s="1"/>
  <c r="Y77" i="9" s="1"/>
  <c r="V190" i="9"/>
  <c r="X190" i="9" s="1"/>
  <c r="Y190" i="9" s="1"/>
  <c r="V87" i="9"/>
  <c r="X87" i="9" s="1"/>
  <c r="Y87" i="9" s="1"/>
  <c r="V296" i="9"/>
  <c r="X296" i="9" s="1"/>
  <c r="Y296" i="9" s="1"/>
  <c r="V210" i="9"/>
  <c r="X210" i="9" s="1"/>
  <c r="Y210" i="9" s="1"/>
  <c r="V175" i="9"/>
  <c r="X175" i="9" s="1"/>
  <c r="Y175" i="9" s="1"/>
  <c r="V177" i="9"/>
  <c r="X177" i="9" s="1"/>
  <c r="Y177" i="9" s="1"/>
  <c r="V144" i="9"/>
  <c r="X144" i="9" s="1"/>
  <c r="Y144" i="9" s="1"/>
  <c r="V88" i="9"/>
  <c r="X88" i="9" s="1"/>
  <c r="Y88" i="9" s="1"/>
  <c r="V299" i="9"/>
  <c r="X299" i="9" s="1"/>
  <c r="Y299" i="9" s="1"/>
  <c r="V221" i="9"/>
  <c r="X221" i="9" s="1"/>
  <c r="Y221" i="9" s="1"/>
  <c r="V29" i="9"/>
  <c r="X29" i="9" s="1"/>
  <c r="Y29" i="9" s="1"/>
  <c r="V197" i="9"/>
  <c r="X197" i="9" s="1"/>
  <c r="Y197" i="9" s="1"/>
  <c r="V225" i="9"/>
  <c r="X225" i="9" s="1"/>
  <c r="Y225" i="9" s="1"/>
  <c r="V232" i="9"/>
  <c r="X232" i="9" s="1"/>
  <c r="Y232" i="9" s="1"/>
  <c r="V100" i="9"/>
  <c r="X100" i="9" s="1"/>
  <c r="Y100" i="9" s="1"/>
  <c r="V48" i="9"/>
  <c r="X48" i="9" s="1"/>
  <c r="Y48" i="9" s="1"/>
  <c r="V249" i="9"/>
  <c r="X249" i="9" s="1"/>
  <c r="Y249" i="9" s="1"/>
  <c r="V213" i="9"/>
  <c r="X213" i="9" s="1"/>
  <c r="Y213" i="9" s="1"/>
  <c r="V206" i="9"/>
  <c r="X206" i="9" s="1"/>
  <c r="Y206" i="9" s="1"/>
  <c r="V36" i="9"/>
  <c r="X36" i="9" s="1"/>
  <c r="Y36" i="9" s="1"/>
  <c r="V271" i="9"/>
  <c r="X271" i="9" s="1"/>
  <c r="Y271" i="9" s="1"/>
  <c r="V298" i="9"/>
  <c r="X298" i="9" s="1"/>
  <c r="Y298" i="9" s="1"/>
  <c r="V98" i="9"/>
  <c r="X98" i="9" s="1"/>
  <c r="Y98" i="9" s="1"/>
  <c r="V205" i="9"/>
  <c r="X205" i="9" s="1"/>
  <c r="Y205" i="9" s="1"/>
  <c r="V189" i="9"/>
  <c r="X189" i="9" s="1"/>
  <c r="Y189" i="9" s="1"/>
  <c r="V229" i="9"/>
  <c r="X229" i="9" s="1"/>
  <c r="Y229" i="9" s="1"/>
  <c r="V240" i="9"/>
  <c r="X240" i="9" s="1"/>
  <c r="Y240" i="9" s="1"/>
  <c r="V273" i="9"/>
  <c r="X273" i="9" s="1"/>
  <c r="Y273" i="9" s="1"/>
  <c r="V103" i="9"/>
  <c r="X103" i="9" s="1"/>
  <c r="Y103" i="9" s="1"/>
  <c r="V46" i="9"/>
  <c r="X46" i="9" s="1"/>
  <c r="Y46" i="9" s="1"/>
  <c r="V121" i="9"/>
  <c r="X121" i="9" s="1"/>
  <c r="Y121" i="9" s="1"/>
  <c r="V287" i="9"/>
  <c r="X287" i="9" s="1"/>
  <c r="Y287" i="9" s="1"/>
  <c r="V59" i="9"/>
  <c r="X59" i="9" s="1"/>
  <c r="Y59" i="9" s="1"/>
  <c r="V58" i="9"/>
  <c r="X58" i="9" s="1"/>
  <c r="Y58" i="9" s="1"/>
  <c r="V183" i="9"/>
  <c r="X183" i="9" s="1"/>
  <c r="Y183" i="9" s="1"/>
  <c r="V166" i="9"/>
  <c r="X166" i="9" s="1"/>
  <c r="Y166" i="9" s="1"/>
  <c r="V241" i="9"/>
  <c r="X241" i="9" s="1"/>
  <c r="Y241" i="9" s="1"/>
  <c r="V114" i="9"/>
  <c r="X114" i="9" s="1"/>
  <c r="Y114" i="9" s="1"/>
  <c r="V171" i="9"/>
  <c r="X171" i="9" s="1"/>
  <c r="Y171" i="9" s="1"/>
  <c r="V295" i="9"/>
  <c r="X295" i="9" s="1"/>
  <c r="Y295" i="9" s="1"/>
  <c r="V187" i="9"/>
  <c r="X187" i="9" s="1"/>
  <c r="Y187" i="9" s="1"/>
  <c r="V73" i="9"/>
  <c r="X73" i="9" s="1"/>
  <c r="Y73" i="9" s="1"/>
  <c r="V203" i="9"/>
  <c r="X203" i="9" s="1"/>
  <c r="Y203" i="9" s="1"/>
  <c r="V99" i="9"/>
  <c r="X99" i="9" s="1"/>
  <c r="Y99" i="9" s="1"/>
  <c r="V275" i="9"/>
  <c r="X275" i="9" s="1"/>
  <c r="Y275" i="9" s="1"/>
  <c r="V167" i="9"/>
  <c r="X167" i="9" s="1"/>
  <c r="Y167" i="9" s="1"/>
  <c r="V196" i="9"/>
  <c r="X196" i="9" s="1"/>
  <c r="Y196" i="9" s="1"/>
  <c r="V168" i="9"/>
  <c r="X168" i="9" s="1"/>
  <c r="Y168" i="9" s="1"/>
  <c r="V159" i="9"/>
  <c r="X159" i="9" s="1"/>
  <c r="Y159" i="9" s="1"/>
  <c r="V74" i="9"/>
  <c r="X74" i="9" s="1"/>
  <c r="Y74" i="9" s="1"/>
  <c r="V37" i="9"/>
  <c r="X37" i="9" s="1"/>
  <c r="Y37" i="9" s="1"/>
  <c r="V75" i="9"/>
  <c r="X75" i="9" s="1"/>
  <c r="Y75" i="9" s="1"/>
  <c r="V93" i="9"/>
  <c r="X93" i="9" s="1"/>
  <c r="Y93" i="9" s="1"/>
  <c r="V152" i="9"/>
  <c r="X152" i="9" s="1"/>
  <c r="Y152" i="9" s="1"/>
  <c r="V142" i="9"/>
  <c r="X142" i="9" s="1"/>
  <c r="Y142" i="9" s="1"/>
  <c r="V39" i="9"/>
  <c r="X39" i="9" s="1"/>
  <c r="Y39" i="9" s="1"/>
  <c r="V113" i="9"/>
  <c r="X113" i="9" s="1"/>
  <c r="Y113" i="9" s="1"/>
  <c r="V236" i="9"/>
  <c r="X236" i="9" s="1"/>
  <c r="Y236" i="9" s="1"/>
  <c r="V191" i="9"/>
  <c r="X191" i="9" s="1"/>
  <c r="Y191" i="9" s="1"/>
  <c r="V84" i="9"/>
  <c r="X84" i="9" s="1"/>
  <c r="Y84" i="9" s="1"/>
  <c r="V91" i="9"/>
  <c r="X91" i="9" s="1"/>
  <c r="Y91" i="9" s="1"/>
  <c r="V24" i="9"/>
  <c r="X24" i="9" s="1"/>
  <c r="Y24" i="9" s="1"/>
  <c r="V11" i="9"/>
  <c r="X11" i="9" s="1"/>
  <c r="Y11" i="9" s="1"/>
  <c r="V149" i="9"/>
  <c r="X149" i="9" s="1"/>
  <c r="Y149" i="9" s="1"/>
  <c r="V243" i="9"/>
  <c r="X243" i="9" s="1"/>
  <c r="Y243" i="9" s="1"/>
  <c r="V182" i="9"/>
  <c r="X182" i="9" s="1"/>
  <c r="Y182" i="9" s="1"/>
  <c r="V192" i="9"/>
  <c r="X192" i="9" s="1"/>
  <c r="Y192" i="9" s="1"/>
  <c r="V281" i="9"/>
  <c r="X281" i="9" s="1"/>
  <c r="Y281" i="9" s="1"/>
  <c r="V204" i="9"/>
  <c r="X204" i="9" s="1"/>
  <c r="Y204" i="9" s="1"/>
  <c r="V209" i="9"/>
  <c r="X209" i="9" s="1"/>
  <c r="Y209" i="9" s="1"/>
  <c r="V217" i="9"/>
  <c r="X217" i="9" s="1"/>
  <c r="Y217" i="9" s="1"/>
  <c r="V89" i="9"/>
  <c r="X89" i="9" s="1"/>
  <c r="Y89" i="9" s="1"/>
  <c r="V101" i="9"/>
  <c r="X101" i="9" s="1"/>
  <c r="Y101" i="9" s="1"/>
  <c r="V228" i="9"/>
  <c r="X228" i="9" s="1"/>
  <c r="Y228" i="9" s="1"/>
  <c r="V12" i="9"/>
  <c r="X12" i="9" s="1"/>
  <c r="Y12" i="9" s="1"/>
  <c r="V76" i="9"/>
  <c r="X76" i="9" s="1"/>
  <c r="Y76" i="9" s="1"/>
  <c r="V47" i="9"/>
  <c r="X47" i="9" s="1"/>
  <c r="Y47" i="9" s="1"/>
  <c r="V131" i="9"/>
  <c r="X131" i="9" s="1"/>
  <c r="Y131" i="9" s="1"/>
  <c r="V56" i="9"/>
  <c r="X56" i="9" s="1"/>
  <c r="Y56" i="9" s="1"/>
  <c r="V274" i="9"/>
  <c r="X274" i="9" s="1"/>
  <c r="Y274" i="9" s="1"/>
  <c r="V80" i="9"/>
  <c r="X80" i="9" s="1"/>
  <c r="Y80" i="9" s="1"/>
  <c r="V31" i="9"/>
  <c r="X31" i="9" s="1"/>
  <c r="Y31" i="9" s="1"/>
  <c r="V269" i="9"/>
  <c r="X269" i="9" s="1"/>
  <c r="Y269" i="9" s="1"/>
  <c r="V126" i="9"/>
  <c r="X126" i="9" s="1"/>
  <c r="Y126" i="9" s="1"/>
  <c r="V27" i="9"/>
  <c r="X27" i="9" s="1"/>
  <c r="Y27" i="9" s="1"/>
  <c r="V170" i="9"/>
  <c r="X170" i="9" s="1"/>
  <c r="Y170" i="9" s="1"/>
  <c r="V69" i="9"/>
  <c r="X69" i="9" s="1"/>
  <c r="Y69" i="9" s="1"/>
  <c r="V96" i="9"/>
  <c r="X96" i="9" s="1"/>
  <c r="Y96" i="9" s="1"/>
  <c r="V300" i="9"/>
  <c r="X300" i="9" s="1"/>
  <c r="Y300" i="9" s="1"/>
  <c r="V10" i="9"/>
  <c r="X10" i="9" s="1"/>
  <c r="Y10" i="9" s="1"/>
  <c r="V90" i="9"/>
  <c r="X90" i="9" s="1"/>
  <c r="Y90" i="9" s="1"/>
  <c r="V289" i="9"/>
  <c r="X289" i="9" s="1"/>
  <c r="Y289" i="9" s="1"/>
  <c r="V71" i="9"/>
  <c r="X71" i="9" s="1"/>
  <c r="Y71" i="9" s="1"/>
  <c r="V66" i="9"/>
  <c r="X66" i="9" s="1"/>
  <c r="Y66" i="9" s="1"/>
  <c r="V116" i="9"/>
  <c r="X116" i="9" s="1"/>
  <c r="Y116" i="9" s="1"/>
  <c r="V16" i="9"/>
  <c r="X16" i="9" s="1"/>
  <c r="Y16" i="9" s="1"/>
  <c r="V147" i="9"/>
  <c r="X147" i="9" s="1"/>
  <c r="Y147" i="9" s="1"/>
  <c r="V97" i="9"/>
  <c r="X97" i="9" s="1"/>
  <c r="Y97" i="9" s="1"/>
  <c r="V25" i="9"/>
  <c r="X25" i="9" s="1"/>
  <c r="Y25" i="9" s="1"/>
  <c r="V135" i="9"/>
  <c r="X135" i="9" s="1"/>
  <c r="Y135" i="9" s="1"/>
  <c r="V202" i="9"/>
  <c r="X202" i="9" s="1"/>
  <c r="Y202" i="9" s="1"/>
  <c r="V279" i="9"/>
  <c r="X279" i="9" s="1"/>
  <c r="Y279" i="9" s="1"/>
  <c r="V70" i="9"/>
  <c r="X70" i="9" s="1"/>
  <c r="Y70" i="9" s="1"/>
  <c r="V148" i="9"/>
  <c r="X148" i="9" s="1"/>
  <c r="Y148" i="9" s="1"/>
  <c r="V110" i="9"/>
  <c r="X110" i="9" s="1"/>
  <c r="Y110" i="9" s="1"/>
  <c r="V286" i="9"/>
  <c r="X286" i="9" s="1"/>
  <c r="Y286" i="9" s="1"/>
  <c r="V54" i="9"/>
  <c r="X54" i="9" s="1"/>
  <c r="Y54" i="9" s="1"/>
  <c r="V256" i="9"/>
  <c r="X256" i="9" s="1"/>
  <c r="Y256" i="9" s="1"/>
  <c r="V285" i="9"/>
  <c r="X285" i="9" s="1"/>
  <c r="Y285" i="9" s="1"/>
  <c r="V238" i="9"/>
  <c r="X238" i="9" s="1"/>
  <c r="Y238" i="9" s="1"/>
  <c r="V227" i="9"/>
  <c r="X227" i="9" s="1"/>
  <c r="Y227" i="9" s="1"/>
  <c r="V134" i="9"/>
  <c r="X134" i="9" s="1"/>
  <c r="Y134" i="9" s="1"/>
  <c r="V160" i="9"/>
  <c r="X160" i="9" s="1"/>
  <c r="Y160" i="9" s="1"/>
  <c r="V30" i="9"/>
  <c r="X30" i="9" s="1"/>
  <c r="Y30" i="9" s="1"/>
  <c r="V174" i="9"/>
  <c r="X174" i="9" s="1"/>
  <c r="Y174" i="9" s="1"/>
  <c r="V180" i="9"/>
  <c r="X180" i="9" s="1"/>
  <c r="Y180" i="9" s="1"/>
  <c r="V262" i="9"/>
  <c r="X262" i="9" s="1"/>
  <c r="Y262" i="9" s="1"/>
  <c r="V86" i="9"/>
  <c r="X86" i="9" s="1"/>
  <c r="Y86" i="9" s="1"/>
  <c r="V33" i="9"/>
  <c r="X33" i="9" s="1"/>
  <c r="Y33" i="9" s="1"/>
  <c r="V129" i="9"/>
  <c r="X129" i="9" s="1"/>
  <c r="Y129" i="9" s="1"/>
  <c r="V268" i="9"/>
  <c r="X268" i="9" s="1"/>
  <c r="Y268" i="9" s="1"/>
  <c r="V211" i="9"/>
  <c r="X211" i="9" s="1"/>
  <c r="Y211" i="9" s="1"/>
  <c r="V259" i="9"/>
  <c r="X259" i="9" s="1"/>
  <c r="Y259" i="9" s="1"/>
  <c r="V109" i="9"/>
  <c r="X109" i="9" s="1"/>
  <c r="Y109" i="9" s="1"/>
  <c r="V242" i="9"/>
  <c r="X242" i="9" s="1"/>
  <c r="Y242" i="9" s="1"/>
  <c r="V137" i="9"/>
  <c r="X137" i="9" s="1"/>
  <c r="Y137" i="9" s="1"/>
  <c r="V50" i="9"/>
  <c r="X50" i="9" s="1"/>
  <c r="Y50" i="9" s="1"/>
  <c r="V83" i="9"/>
  <c r="X83" i="9" s="1"/>
  <c r="Y83" i="9" s="1"/>
  <c r="V223" i="9"/>
  <c r="X223" i="9" s="1"/>
  <c r="Y223" i="9" s="1"/>
  <c r="V120" i="9"/>
  <c r="X120" i="9" s="1"/>
  <c r="Y120" i="9" s="1"/>
  <c r="V181" i="9"/>
  <c r="X181" i="9" s="1"/>
  <c r="Y181" i="9" s="1"/>
  <c r="V164" i="9"/>
  <c r="X164" i="9" s="1"/>
  <c r="Y164" i="9" s="1"/>
  <c r="V125" i="9"/>
  <c r="X125" i="9" s="1"/>
  <c r="Y125" i="9" s="1"/>
  <c r="V261" i="9"/>
  <c r="X261" i="9" s="1"/>
  <c r="Y261" i="9" s="1"/>
  <c r="V122" i="9"/>
  <c r="X122" i="9" s="1"/>
  <c r="Y122" i="9" s="1"/>
  <c r="V278" i="9"/>
  <c r="X278" i="9" s="1"/>
  <c r="Y278" i="9" s="1"/>
  <c r="V18" i="9"/>
  <c r="X18" i="9" s="1"/>
  <c r="Y18" i="9" s="1"/>
  <c r="V146" i="9"/>
  <c r="X146" i="9" s="1"/>
  <c r="Y146" i="9" s="1"/>
  <c r="V199" i="9"/>
  <c r="X199" i="9" s="1"/>
  <c r="Y199" i="9" s="1"/>
  <c r="V14" i="9"/>
  <c r="X14" i="9" s="1"/>
  <c r="Y14" i="9" s="1"/>
  <c r="V255" i="9"/>
  <c r="X255" i="9" s="1"/>
  <c r="Y255" i="9" s="1"/>
  <c r="V247" i="9"/>
  <c r="X247" i="9" s="1"/>
  <c r="Y247" i="9" s="1"/>
  <c r="V65" i="9"/>
  <c r="X65" i="9" s="1"/>
  <c r="Y65" i="9" s="1"/>
  <c r="V124" i="9"/>
  <c r="X124" i="9" s="1"/>
  <c r="Y124" i="9" s="1"/>
  <c r="V186" i="9"/>
  <c r="X186" i="9" s="1"/>
  <c r="Y186" i="9" s="1"/>
  <c r="V28" i="9"/>
  <c r="X28" i="9" s="1"/>
  <c r="Y28" i="9" s="1"/>
  <c r="V264" i="9"/>
  <c r="X264" i="9" s="1"/>
  <c r="Y264" i="9" s="1"/>
  <c r="V267" i="9"/>
  <c r="X267" i="9" s="1"/>
  <c r="Y267" i="9" s="1"/>
  <c r="V92" i="9"/>
  <c r="X92" i="9" s="1"/>
  <c r="Y92" i="9" s="1"/>
  <c r="V215" i="9"/>
  <c r="X215" i="9" s="1"/>
  <c r="Y215" i="9" s="1"/>
  <c r="V214" i="9"/>
  <c r="X214" i="9" s="1"/>
  <c r="Y214" i="9" s="1"/>
  <c r="V38" i="9"/>
  <c r="X38" i="9" s="1"/>
  <c r="Y38" i="9" s="1"/>
  <c r="V233" i="9"/>
  <c r="X233" i="9" s="1"/>
  <c r="Y233" i="9" s="1"/>
  <c r="V157" i="9"/>
  <c r="X157" i="9" s="1"/>
  <c r="Y157" i="9" s="1"/>
  <c r="V130" i="9"/>
  <c r="X130" i="9" s="1"/>
  <c r="Y130" i="9" s="1"/>
  <c r="V246" i="9"/>
  <c r="X246" i="9" s="1"/>
  <c r="Y246" i="9" s="1"/>
  <c r="V62" i="9"/>
  <c r="X62" i="9" s="1"/>
  <c r="Y62" i="9" s="1"/>
  <c r="V45" i="9"/>
  <c r="X45" i="9" s="1"/>
  <c r="Y45" i="9" s="1"/>
  <c r="V162" i="9"/>
  <c r="X162" i="9" s="1"/>
  <c r="Y162" i="9" s="1"/>
  <c r="V102" i="9"/>
  <c r="X102" i="9" s="1"/>
  <c r="Y102" i="9" s="1"/>
  <c r="V230" i="9"/>
  <c r="X230" i="9" s="1"/>
  <c r="Y230" i="9" s="1"/>
  <c r="V104" i="9"/>
  <c r="X104" i="9" s="1"/>
  <c r="Y104" i="9" s="1"/>
  <c r="V176" i="9"/>
  <c r="X176" i="9" s="1"/>
  <c r="Y176" i="9" s="1"/>
  <c r="V34" i="9"/>
  <c r="X34" i="9" s="1"/>
  <c r="Y34" i="9" s="1"/>
  <c r="V72" i="9"/>
  <c r="X72" i="9" s="1"/>
  <c r="Y72" i="9" s="1"/>
  <c r="V178" i="9"/>
  <c r="X178" i="9" s="1"/>
  <c r="Y178" i="9" s="1"/>
  <c r="V49" i="9"/>
  <c r="X49" i="9" s="1"/>
  <c r="Y49" i="9" s="1"/>
  <c r="V139" i="9"/>
  <c r="X139" i="9" s="1"/>
  <c r="Y139" i="9" s="1"/>
  <c r="V94" i="9"/>
  <c r="X94" i="9" s="1"/>
  <c r="Y94" i="9" s="1"/>
  <c r="V44" i="9"/>
  <c r="X44" i="9" s="1"/>
  <c r="Y44" i="9" s="1"/>
  <c r="V143" i="9"/>
  <c r="X143" i="9" s="1"/>
  <c r="Y143" i="9" s="1"/>
  <c r="V234" i="9"/>
  <c r="X234" i="9" s="1"/>
  <c r="Y234" i="9" s="1"/>
  <c r="V224" i="9"/>
  <c r="X224" i="9" s="1"/>
  <c r="Y224" i="9" s="1"/>
  <c r="V231" i="9"/>
  <c r="X231" i="9" s="1"/>
  <c r="Y231" i="9" s="1"/>
  <c r="V42" i="9"/>
  <c r="X42" i="9" s="1"/>
  <c r="Y42" i="9" s="1"/>
  <c r="V53" i="9"/>
  <c r="X53" i="9" s="1"/>
  <c r="Y53" i="9" s="1"/>
  <c r="V154" i="9"/>
  <c r="X154" i="9" s="1"/>
  <c r="Y154" i="9" s="1"/>
  <c r="V222" i="9"/>
  <c r="X222" i="9" s="1"/>
  <c r="Y222" i="9" s="1"/>
  <c r="V165" i="9"/>
  <c r="X165" i="9" s="1"/>
  <c r="Y165" i="9" s="1"/>
  <c r="V128" i="9"/>
  <c r="X128" i="9" s="1"/>
  <c r="Y128" i="9" s="1"/>
  <c r="V265" i="9"/>
  <c r="X265" i="9" s="1"/>
  <c r="Y265" i="9" s="1"/>
  <c r="V138" i="9"/>
  <c r="X138" i="9" s="1"/>
  <c r="Y138" i="9" s="1"/>
  <c r="V258" i="9"/>
  <c r="X258" i="9" s="1"/>
  <c r="Y258" i="9" s="1"/>
  <c r="V9" i="9"/>
  <c r="X9" i="9" s="1"/>
  <c r="Y9" i="9" s="1"/>
  <c r="V282" i="9"/>
  <c r="X282" i="9" s="1"/>
  <c r="Y282" i="9" s="1"/>
  <c r="V283" i="9"/>
  <c r="X283" i="9" s="1"/>
  <c r="Y283" i="9" s="1"/>
  <c r="V52" i="9"/>
  <c r="X52" i="9" s="1"/>
  <c r="Y52" i="9" s="1"/>
  <c r="V226" i="9"/>
  <c r="X226" i="9" s="1"/>
  <c r="Y226" i="9" s="1"/>
  <c r="V15" i="9"/>
  <c r="X15" i="9" s="1"/>
  <c r="Y15" i="9" s="1"/>
  <c r="V301" i="9"/>
  <c r="X301" i="9" s="1"/>
  <c r="Y301" i="9" s="1"/>
  <c r="V272" i="9"/>
  <c r="X272" i="9" s="1"/>
  <c r="Y272" i="9" s="1"/>
  <c r="V17" i="9"/>
  <c r="X17" i="9" s="1"/>
  <c r="Y17" i="9" s="1"/>
  <c r="V68" i="9"/>
  <c r="X68" i="9" s="1"/>
  <c r="Y68" i="9" s="1"/>
  <c r="V32" i="9"/>
  <c r="X32" i="9" s="1"/>
  <c r="Y32" i="9" s="1"/>
  <c r="V244" i="9"/>
  <c r="X244" i="9" s="1"/>
  <c r="Y244" i="9" s="1"/>
  <c r="V150" i="9"/>
  <c r="X150" i="9" s="1"/>
  <c r="Y150" i="9" s="1"/>
  <c r="V19" i="9"/>
  <c r="X19" i="9" s="1"/>
  <c r="Y19" i="9" s="1"/>
  <c r="V220" i="9"/>
  <c r="X220" i="9" s="1"/>
  <c r="Y220" i="9" s="1"/>
  <c r="V64" i="9"/>
  <c r="X64" i="9" s="1"/>
  <c r="Y64" i="9" s="1"/>
  <c r="V153" i="9"/>
  <c r="X153" i="9" s="1"/>
  <c r="Y153" i="9" s="1"/>
  <c r="V260" i="9"/>
  <c r="X260" i="9" s="1"/>
  <c r="Y260" i="9" s="1"/>
  <c r="V239" i="9"/>
  <c r="X239" i="9" s="1"/>
  <c r="Y239" i="9" s="1"/>
  <c r="V127" i="9"/>
  <c r="X127" i="9" s="1"/>
  <c r="Y127" i="9" s="1"/>
  <c r="V82" i="9"/>
  <c r="X82" i="9" s="1"/>
  <c r="Y82" i="9" s="1"/>
  <c r="V195" i="9"/>
  <c r="X195" i="9" s="1"/>
  <c r="Y195" i="9" s="1"/>
  <c r="V169" i="9"/>
  <c r="X169" i="9" s="1"/>
  <c r="Y169" i="9" s="1"/>
  <c r="V245" i="9"/>
  <c r="X245" i="9" s="1"/>
  <c r="Y245" i="9" s="1"/>
  <c r="V123" i="9"/>
  <c r="X123" i="9" s="1"/>
  <c r="Y123" i="9" s="1"/>
  <c r="V251" i="9"/>
  <c r="X251" i="9" s="1"/>
  <c r="Y251" i="9" s="1"/>
  <c r="V270" i="9"/>
  <c r="X270" i="9" s="1"/>
  <c r="Y270" i="9" s="1"/>
  <c r="V78" i="9"/>
  <c r="X78" i="9" s="1"/>
  <c r="Y78" i="9" s="1"/>
  <c r="V132" i="9"/>
  <c r="X132" i="9" s="1"/>
  <c r="Y132" i="9" s="1"/>
  <c r="V155" i="9"/>
  <c r="X155" i="9" s="1"/>
  <c r="Y155" i="9" s="1"/>
  <c r="V184" i="9"/>
  <c r="X184" i="9" s="1"/>
  <c r="Y184" i="9" s="1"/>
  <c r="V208" i="9"/>
  <c r="X208" i="9" s="1"/>
  <c r="Y208" i="9" s="1"/>
  <c r="V212" i="9"/>
  <c r="X212" i="9" s="1"/>
  <c r="Y212" i="9" s="1"/>
  <c r="V55" i="9"/>
  <c r="X55" i="9" s="1"/>
  <c r="Y55" i="9" s="1"/>
  <c r="V117" i="9"/>
  <c r="X117" i="9" s="1"/>
  <c r="Y117" i="9" s="1"/>
  <c r="V111" i="9"/>
  <c r="X111" i="9" s="1"/>
  <c r="Y111" i="9" s="1"/>
  <c r="V41" i="9"/>
  <c r="X41" i="9" s="1"/>
  <c r="Y41" i="9" s="1"/>
  <c r="V235" i="9"/>
  <c r="X235" i="9" s="1"/>
  <c r="Y235" i="9" s="1"/>
  <c r="V263" i="9"/>
  <c r="X263" i="9" s="1"/>
  <c r="Y263" i="9" s="1"/>
  <c r="V95" i="9"/>
  <c r="X95" i="9" s="1"/>
  <c r="Y95" i="9" s="1"/>
  <c r="V21" i="9"/>
  <c r="X21" i="9" s="1"/>
  <c r="Y21" i="9" s="1"/>
  <c r="V67" i="9"/>
  <c r="X67" i="9" s="1"/>
  <c r="Y67" i="9" s="1"/>
  <c r="V277" i="9"/>
  <c r="X277" i="9" s="1"/>
  <c r="Y277" i="9" s="1"/>
  <c r="V288" i="9"/>
  <c r="X288" i="9" s="1"/>
  <c r="Y288" i="9" s="1"/>
  <c r="V23" i="9"/>
  <c r="X23" i="9" s="1"/>
  <c r="Y23" i="9" s="1"/>
  <c r="V280" i="9"/>
  <c r="X280" i="9" s="1"/>
  <c r="Y280" i="9" s="1"/>
  <c r="V106" i="9"/>
  <c r="X106" i="9" s="1"/>
  <c r="Y106" i="9" s="1"/>
  <c r="V133" i="9"/>
  <c r="X133" i="9" s="1"/>
  <c r="Y133" i="9" s="1"/>
  <c r="V43" i="9"/>
  <c r="X43" i="9" s="1"/>
  <c r="Y43" i="9" s="1"/>
  <c r="V63" i="9"/>
  <c r="X63" i="9" s="1"/>
  <c r="Y63" i="9" s="1"/>
  <c r="V291" i="9"/>
  <c r="X291" i="9" s="1"/>
  <c r="Y291" i="9" s="1"/>
  <c r="V13" i="9"/>
  <c r="X13" i="9" s="1"/>
  <c r="Y13" i="9" s="1"/>
  <c r="V118" i="9"/>
  <c r="X118" i="9" s="1"/>
  <c r="Y118" i="9" s="1"/>
  <c r="V207" i="9"/>
  <c r="X207" i="9" s="1"/>
  <c r="Y207" i="9" s="1"/>
  <c r="V140" i="9"/>
  <c r="X140" i="9" s="1"/>
  <c r="Y140" i="9" s="1"/>
  <c r="V198" i="9"/>
  <c r="X198" i="9" s="1"/>
  <c r="Y198" i="9" s="1"/>
  <c r="V119" i="9"/>
  <c r="X119" i="9" s="1"/>
  <c r="Y119" i="9" s="1"/>
  <c r="V179" i="9"/>
  <c r="X179" i="9" s="1"/>
  <c r="Y179" i="9" s="1"/>
  <c r="V194" i="9"/>
  <c r="X194" i="9" s="1"/>
  <c r="Y194" i="9" s="1"/>
  <c r="V40" i="9"/>
  <c r="X40" i="9" s="1"/>
  <c r="Y40" i="9" s="1"/>
  <c r="V252" i="9"/>
  <c r="X252" i="9" s="1"/>
  <c r="Y252" i="9" s="1"/>
  <c r="V253" i="9"/>
  <c r="X253" i="9" s="1"/>
  <c r="Y253" i="9" s="1"/>
  <c r="V200" i="9"/>
  <c r="X200" i="9" s="1"/>
  <c r="Y200" i="9" s="1"/>
  <c r="V237" i="9"/>
  <c r="X237" i="9" s="1"/>
  <c r="Y237" i="9" s="1"/>
  <c r="V284" i="9"/>
  <c r="X284" i="9" s="1"/>
  <c r="Y284" i="9" s="1"/>
  <c r="V35" i="9"/>
  <c r="X35" i="9" s="1"/>
  <c r="Y35" i="9" s="1"/>
  <c r="V22" i="9"/>
  <c r="X22" i="9" s="1"/>
  <c r="Y22" i="9" s="1"/>
  <c r="V79" i="9"/>
  <c r="X79" i="9" s="1"/>
  <c r="Y79" i="9" s="1"/>
  <c r="V163" i="9"/>
  <c r="X163" i="9" s="1"/>
  <c r="Y163" i="9" s="1"/>
  <c r="V293" i="9"/>
  <c r="X293" i="9" s="1"/>
  <c r="Y293" i="9" s="1"/>
  <c r="V254" i="9"/>
  <c r="X254" i="9" s="1"/>
  <c r="Y254" i="9" s="1"/>
  <c r="V201" i="9"/>
  <c r="X201" i="9" s="1"/>
  <c r="Y201" i="9" s="1"/>
  <c r="V85" i="9"/>
  <c r="X85" i="9" s="1"/>
  <c r="Y85" i="9" s="1"/>
  <c r="V20" i="9"/>
  <c r="X20" i="9" s="1"/>
  <c r="Y20" i="9" s="1"/>
  <c r="V219" i="9"/>
  <c r="X219" i="9" s="1"/>
  <c r="Y219" i="9" s="1"/>
  <c r="V57" i="9"/>
  <c r="X57" i="9" s="1"/>
  <c r="Y57" i="9" s="1"/>
  <c r="V51" i="9"/>
  <c r="X51" i="9" s="1"/>
  <c r="Y51" i="9" s="1"/>
  <c r="V105" i="9"/>
  <c r="X105" i="9" s="1"/>
  <c r="Y105" i="9" s="1"/>
  <c r="V145" i="9"/>
  <c r="X145" i="9" s="1"/>
  <c r="Y145" i="9" s="1"/>
  <c r="V136" i="9"/>
  <c r="X136" i="9" s="1"/>
  <c r="Y136" i="9" s="1"/>
  <c r="V112" i="9"/>
  <c r="X112" i="9" s="1"/>
  <c r="Y112" i="9" s="1"/>
  <c r="T302" i="9"/>
  <c r="V8" i="9"/>
  <c r="X8" i="9" s="1"/>
  <c r="Y8" i="9" l="1"/>
  <c r="Y302" i="9" s="1"/>
  <c r="X302" i="9"/>
  <c r="V2" i="9"/>
  <c r="I118" i="55"/>
  <c r="I49" i="55"/>
  <c r="I213" i="55"/>
  <c r="I57" i="55"/>
  <c r="I79" i="55"/>
  <c r="I40" i="55"/>
  <c r="I13" i="55"/>
  <c r="I288" i="55"/>
  <c r="I111" i="55"/>
  <c r="I132" i="55"/>
  <c r="I82" i="55"/>
  <c r="I301" i="55"/>
  <c r="I138" i="55"/>
  <c r="I231" i="55"/>
  <c r="I178" i="55"/>
  <c r="I45" i="55"/>
  <c r="I215" i="55"/>
  <c r="I247" i="55"/>
  <c r="I261" i="55"/>
  <c r="I137" i="55"/>
  <c r="I86" i="55"/>
  <c r="I70" i="55"/>
  <c r="I116" i="55"/>
  <c r="I69" i="55"/>
  <c r="I56" i="55"/>
  <c r="I89" i="55"/>
  <c r="I149" i="55"/>
  <c r="I39" i="55"/>
  <c r="I168" i="55"/>
  <c r="I295" i="55"/>
  <c r="I287" i="55"/>
  <c r="I189" i="55"/>
  <c r="I249" i="55"/>
  <c r="I299" i="55"/>
  <c r="I190" i="55"/>
  <c r="I297" i="55"/>
  <c r="I108" i="55"/>
  <c r="I185" i="55"/>
  <c r="I41" i="55"/>
  <c r="I258" i="55"/>
  <c r="I122" i="55"/>
  <c r="I16" i="55"/>
  <c r="I113" i="55"/>
  <c r="I81" i="55"/>
  <c r="I22" i="55"/>
  <c r="I117" i="55"/>
  <c r="I15" i="55"/>
  <c r="I265" i="55"/>
  <c r="I224" i="55"/>
  <c r="I72" i="55"/>
  <c r="I62" i="55"/>
  <c r="I92" i="55"/>
  <c r="I255" i="55"/>
  <c r="I125" i="55"/>
  <c r="I242" i="55"/>
  <c r="I262" i="55"/>
  <c r="I238" i="55"/>
  <c r="I279" i="55"/>
  <c r="I66" i="55"/>
  <c r="I170" i="55"/>
  <c r="I217" i="55"/>
  <c r="I11" i="55"/>
  <c r="I142" i="55"/>
  <c r="I196" i="55"/>
  <c r="I171" i="55"/>
  <c r="I121" i="55"/>
  <c r="I205" i="55"/>
  <c r="I48" i="55"/>
  <c r="I88" i="55"/>
  <c r="I77" i="55"/>
  <c r="I115" i="55"/>
  <c r="I156" i="55"/>
  <c r="I292" i="55"/>
  <c r="I23" i="55"/>
  <c r="I272" i="55"/>
  <c r="I50" i="55"/>
  <c r="I101" i="55"/>
  <c r="I218" i="55"/>
  <c r="I291" i="55"/>
  <c r="I127" i="55"/>
  <c r="I112" i="55"/>
  <c r="I20" i="55"/>
  <c r="I35" i="55"/>
  <c r="I179" i="55"/>
  <c r="I63" i="55"/>
  <c r="I67" i="55"/>
  <c r="I55" i="55"/>
  <c r="I270" i="55"/>
  <c r="I239" i="55"/>
  <c r="I226" i="55"/>
  <c r="I128" i="55"/>
  <c r="I234" i="55"/>
  <c r="I34" i="55"/>
  <c r="I246" i="55"/>
  <c r="I267" i="55"/>
  <c r="I14" i="55"/>
  <c r="I164" i="55"/>
  <c r="I109" i="55"/>
  <c r="I180" i="55"/>
  <c r="I285" i="55"/>
  <c r="I202" i="55"/>
  <c r="I71" i="55"/>
  <c r="I27" i="55"/>
  <c r="I131" i="55"/>
  <c r="I209" i="55"/>
  <c r="I24" i="55"/>
  <c r="I152" i="55"/>
  <c r="I167" i="55"/>
  <c r="I114" i="55"/>
  <c r="I46" i="55"/>
  <c r="I98" i="55"/>
  <c r="I100" i="55"/>
  <c r="I144" i="55"/>
  <c r="I172" i="55"/>
  <c r="I107" i="55"/>
  <c r="I266" i="55"/>
  <c r="I294" i="55"/>
  <c r="I51" i="55"/>
  <c r="I42" i="55"/>
  <c r="I194" i="55"/>
  <c r="I78" i="55"/>
  <c r="I136" i="55"/>
  <c r="I284" i="55"/>
  <c r="I119" i="55"/>
  <c r="I21" i="55"/>
  <c r="I212" i="55"/>
  <c r="I251" i="55"/>
  <c r="I260" i="55"/>
  <c r="I244" i="55"/>
  <c r="I52" i="55"/>
  <c r="I165" i="55"/>
  <c r="I143" i="55"/>
  <c r="I176" i="55"/>
  <c r="I130" i="55"/>
  <c r="I264" i="55"/>
  <c r="I199" i="55"/>
  <c r="I181" i="55"/>
  <c r="I259" i="55"/>
  <c r="I174" i="55"/>
  <c r="I256" i="55"/>
  <c r="I135" i="55"/>
  <c r="I289" i="55"/>
  <c r="I126" i="55"/>
  <c r="I47" i="55"/>
  <c r="I204" i="55"/>
  <c r="I91" i="55"/>
  <c r="I93" i="55"/>
  <c r="I275" i="55"/>
  <c r="I241" i="55"/>
  <c r="I103" i="55"/>
  <c r="I298" i="55"/>
  <c r="I232" i="55"/>
  <c r="I177" i="55"/>
  <c r="I276" i="55"/>
  <c r="I141" i="55"/>
  <c r="I60" i="55"/>
  <c r="I188" i="55"/>
  <c r="I252" i="55"/>
  <c r="I195" i="55"/>
  <c r="I162" i="55"/>
  <c r="I227" i="55"/>
  <c r="I274" i="55"/>
  <c r="I159" i="55"/>
  <c r="I229" i="55"/>
  <c r="I61" i="55"/>
  <c r="I219" i="55"/>
  <c r="I277" i="55"/>
  <c r="I150" i="55"/>
  <c r="I85" i="55"/>
  <c r="I43" i="55"/>
  <c r="I145" i="55"/>
  <c r="I201" i="55"/>
  <c r="I237" i="55"/>
  <c r="I198" i="55"/>
  <c r="I133" i="55"/>
  <c r="I95" i="55"/>
  <c r="I123" i="55"/>
  <c r="I153" i="55"/>
  <c r="I32" i="55"/>
  <c r="I283" i="55"/>
  <c r="I222" i="55"/>
  <c r="I44" i="55"/>
  <c r="I104" i="55"/>
  <c r="I157" i="55"/>
  <c r="I28" i="55"/>
  <c r="I146" i="55"/>
  <c r="I120" i="55"/>
  <c r="I211" i="55"/>
  <c r="I30" i="55"/>
  <c r="I54" i="55"/>
  <c r="I25" i="55"/>
  <c r="I90" i="55"/>
  <c r="I269" i="55"/>
  <c r="I76" i="55"/>
  <c r="I281" i="55"/>
  <c r="I84" i="55"/>
  <c r="I75" i="55"/>
  <c r="I99" i="55"/>
  <c r="I166" i="55"/>
  <c r="I273" i="55"/>
  <c r="I271" i="55"/>
  <c r="I225" i="55"/>
  <c r="I175" i="55"/>
  <c r="I26" i="55"/>
  <c r="I193" i="55"/>
  <c r="I216" i="55"/>
  <c r="I151" i="55"/>
  <c r="I155" i="55"/>
  <c r="I214" i="55"/>
  <c r="I148" i="55"/>
  <c r="I243" i="55"/>
  <c r="I59" i="55"/>
  <c r="I87" i="55"/>
  <c r="I200" i="55"/>
  <c r="I106" i="55"/>
  <c r="I245" i="55"/>
  <c r="I68" i="55"/>
  <c r="I154" i="55"/>
  <c r="I230" i="55"/>
  <c r="I186" i="55"/>
  <c r="I18" i="55"/>
  <c r="I223" i="55"/>
  <c r="I160" i="55"/>
  <c r="I286" i="55"/>
  <c r="I97" i="55"/>
  <c r="I10" i="55"/>
  <c r="I31" i="55"/>
  <c r="I12" i="55"/>
  <c r="I192" i="55"/>
  <c r="I191" i="55"/>
  <c r="I37" i="55"/>
  <c r="I203" i="55"/>
  <c r="I183" i="55"/>
  <c r="I36" i="55"/>
  <c r="I197" i="55"/>
  <c r="I210" i="55"/>
  <c r="I161" i="55"/>
  <c r="I257" i="55"/>
  <c r="I290" i="55"/>
  <c r="I163" i="55"/>
  <c r="I19" i="55"/>
  <c r="I65" i="55"/>
  <c r="I33" i="55"/>
  <c r="I96" i="55"/>
  <c r="I187" i="55"/>
  <c r="I221" i="55"/>
  <c r="I254" i="55"/>
  <c r="I140" i="55"/>
  <c r="I263" i="55"/>
  <c r="I208" i="55"/>
  <c r="I64" i="55"/>
  <c r="I282" i="55"/>
  <c r="I94" i="55"/>
  <c r="I233" i="55"/>
  <c r="I268" i="55"/>
  <c r="I105" i="55"/>
  <c r="I293" i="55"/>
  <c r="I253" i="55"/>
  <c r="I207" i="55"/>
  <c r="I280" i="55"/>
  <c r="I235" i="55"/>
  <c r="I184" i="55"/>
  <c r="I169" i="55"/>
  <c r="I220" i="55"/>
  <c r="I17" i="55"/>
  <c r="I9" i="55"/>
  <c r="I53" i="55"/>
  <c r="I139" i="55"/>
  <c r="I102" i="55"/>
  <c r="I38" i="55"/>
  <c r="I124" i="55"/>
  <c r="I278" i="55"/>
  <c r="I83" i="55"/>
  <c r="I129" i="55"/>
  <c r="I134" i="55"/>
  <c r="I110" i="55"/>
  <c r="I147" i="55"/>
  <c r="I300" i="55"/>
  <c r="I80" i="55"/>
  <c r="I228" i="55"/>
  <c r="I182" i="55"/>
  <c r="I236" i="55"/>
  <c r="I74" i="55"/>
  <c r="I73" i="55"/>
  <c r="I58" i="55"/>
  <c r="I240" i="55"/>
  <c r="I206" i="55"/>
  <c r="I29" i="55"/>
  <c r="I296" i="55"/>
  <c r="I248" i="55"/>
  <c r="I158" i="55"/>
  <c r="I173" i="55"/>
  <c r="E13" i="57"/>
  <c r="H13" i="57" s="1"/>
  <c r="I250" i="55"/>
  <c r="N30" i="45"/>
  <c r="U302" i="9"/>
  <c r="I8" i="55" l="1"/>
  <c r="V302" i="9"/>
  <c r="I302" i="55" l="1"/>
  <c r="M36" i="45" l="1"/>
  <c r="M38" i="45"/>
  <c r="E247" i="9" l="1"/>
  <c r="F247" i="9" s="1"/>
  <c r="E246" i="9"/>
  <c r="F246" i="9" s="1"/>
  <c r="E207" i="9"/>
  <c r="F207" i="9" s="1"/>
  <c r="E11" i="9"/>
  <c r="X302" i="53"/>
  <c r="F11" i="9" l="1"/>
  <c r="E302" i="9"/>
  <c r="I4" i="9" l="1"/>
  <c r="G11" i="9" l="1"/>
  <c r="H11" i="9" s="1"/>
  <c r="I11" i="9" s="1"/>
  <c r="G11" i="55" s="1"/>
  <c r="J11" i="55" s="1"/>
  <c r="G95" i="9"/>
  <c r="H95" i="9" s="1"/>
  <c r="I95" i="9" s="1"/>
  <c r="G95" i="55" s="1"/>
  <c r="J95" i="55" s="1"/>
  <c r="G100" i="9"/>
  <c r="H100" i="9" s="1"/>
  <c r="I100" i="9" s="1"/>
  <c r="G100" i="55" s="1"/>
  <c r="J100" i="55" s="1"/>
  <c r="G241" i="9"/>
  <c r="H241" i="9" s="1"/>
  <c r="I241" i="9" s="1"/>
  <c r="G241" i="55" s="1"/>
  <c r="J241" i="55" s="1"/>
  <c r="G57" i="9"/>
  <c r="H57" i="9" s="1"/>
  <c r="I57" i="9" s="1"/>
  <c r="G57" i="55" s="1"/>
  <c r="J57" i="55" s="1"/>
  <c r="G26" i="9"/>
  <c r="H26" i="9" s="1"/>
  <c r="I26" i="9" s="1"/>
  <c r="G26" i="55" s="1"/>
  <c r="J26" i="55" s="1"/>
  <c r="G260" i="9"/>
  <c r="H260" i="9" s="1"/>
  <c r="I260" i="9" s="1"/>
  <c r="G260" i="55" s="1"/>
  <c r="J260" i="55" s="1"/>
  <c r="G272" i="9"/>
  <c r="H272" i="9" s="1"/>
  <c r="I272" i="9" s="1"/>
  <c r="G272" i="55" s="1"/>
  <c r="J272" i="55" s="1"/>
  <c r="G106" i="9"/>
  <c r="H106" i="9" s="1"/>
  <c r="I106" i="9" s="1"/>
  <c r="G106" i="55" s="1"/>
  <c r="J106" i="55" s="1"/>
  <c r="G292" i="9"/>
  <c r="H292" i="9" s="1"/>
  <c r="I292" i="9" s="1"/>
  <c r="G292" i="55" s="1"/>
  <c r="J292" i="55" s="1"/>
  <c r="G247" i="9"/>
  <c r="H247" i="9" s="1"/>
  <c r="I247" i="9" s="1"/>
  <c r="G247" i="55" s="1"/>
  <c r="J247" i="55" s="1"/>
  <c r="G17" i="9"/>
  <c r="H17" i="9" s="1"/>
  <c r="I17" i="9" s="1"/>
  <c r="G17" i="55" s="1"/>
  <c r="J17" i="55" s="1"/>
  <c r="G22" i="9"/>
  <c r="H22" i="9" s="1"/>
  <c r="I22" i="9" s="1"/>
  <c r="G22" i="55" s="1"/>
  <c r="J22" i="55" s="1"/>
  <c r="G161" i="9"/>
  <c r="H161" i="9" s="1"/>
  <c r="I161" i="9" s="1"/>
  <c r="G161" i="55" s="1"/>
  <c r="J161" i="55" s="1"/>
  <c r="G48" i="9"/>
  <c r="H48" i="9" s="1"/>
  <c r="I48" i="9" s="1"/>
  <c r="G48" i="55" s="1"/>
  <c r="J48" i="55" s="1"/>
  <c r="G110" i="9"/>
  <c r="H110" i="9" s="1"/>
  <c r="I110" i="9" s="1"/>
  <c r="G110" i="55" s="1"/>
  <c r="J110" i="55" s="1"/>
  <c r="G86" i="9"/>
  <c r="H86" i="9" s="1"/>
  <c r="I86" i="9" s="1"/>
  <c r="G86" i="55" s="1"/>
  <c r="J86" i="55" s="1"/>
  <c r="G117" i="9"/>
  <c r="H117" i="9" s="1"/>
  <c r="I117" i="9" s="1"/>
  <c r="G117" i="55" s="1"/>
  <c r="J117" i="55" s="1"/>
  <c r="G131" i="9"/>
  <c r="H131" i="9" s="1"/>
  <c r="I131" i="9" s="1"/>
  <c r="G131" i="55" s="1"/>
  <c r="J131" i="55" s="1"/>
  <c r="G286" i="9"/>
  <c r="H286" i="9" s="1"/>
  <c r="I286" i="9" s="1"/>
  <c r="G286" i="55" s="1"/>
  <c r="J286" i="55" s="1"/>
  <c r="G173" i="9"/>
  <c r="H173" i="9" s="1"/>
  <c r="I173" i="9" s="1"/>
  <c r="G173" i="55" s="1"/>
  <c r="J173" i="55" s="1"/>
  <c r="G64" i="9"/>
  <c r="H64" i="9" s="1"/>
  <c r="I64" i="9" s="1"/>
  <c r="G64" i="55" s="1"/>
  <c r="J64" i="55" s="1"/>
  <c r="G190" i="9"/>
  <c r="H190" i="9" s="1"/>
  <c r="I190" i="9" s="1"/>
  <c r="G190" i="55" s="1"/>
  <c r="J190" i="55" s="1"/>
  <c r="G195" i="9"/>
  <c r="H195" i="9" s="1"/>
  <c r="I195" i="9" s="1"/>
  <c r="G195" i="55" s="1"/>
  <c r="J195" i="55" s="1"/>
  <c r="G273" i="9"/>
  <c r="H273" i="9" s="1"/>
  <c r="I273" i="9" s="1"/>
  <c r="G273" i="55" s="1"/>
  <c r="J273" i="55" s="1"/>
  <c r="G153" i="9"/>
  <c r="H153" i="9" s="1"/>
  <c r="I153" i="9" s="1"/>
  <c r="G153" i="55" s="1"/>
  <c r="J153" i="55" s="1"/>
  <c r="G207" i="9"/>
  <c r="H207" i="9" s="1"/>
  <c r="I207" i="9" s="1"/>
  <c r="G207" i="55" s="1"/>
  <c r="J207" i="55" s="1"/>
  <c r="G152" i="9"/>
  <c r="H152" i="9" s="1"/>
  <c r="I152" i="9" s="1"/>
  <c r="G152" i="55" s="1"/>
  <c r="J152" i="55" s="1"/>
  <c r="G290" i="9"/>
  <c r="H290" i="9" s="1"/>
  <c r="I290" i="9" s="1"/>
  <c r="G290" i="55" s="1"/>
  <c r="J290" i="55" s="1"/>
  <c r="G251" i="9"/>
  <c r="H251" i="9" s="1"/>
  <c r="I251" i="9" s="1"/>
  <c r="G251" i="55" s="1"/>
  <c r="J251" i="55" s="1"/>
  <c r="G138" i="9"/>
  <c r="H138" i="9" s="1"/>
  <c r="I138" i="9" s="1"/>
  <c r="G138" i="55" s="1"/>
  <c r="J138" i="55" s="1"/>
  <c r="G205" i="9"/>
  <c r="H205" i="9" s="1"/>
  <c r="I205" i="9" s="1"/>
  <c r="G205" i="55" s="1"/>
  <c r="J205" i="55" s="1"/>
  <c r="G175" i="9"/>
  <c r="H175" i="9" s="1"/>
  <c r="I175" i="9" s="1"/>
  <c r="G175" i="55" s="1"/>
  <c r="J175" i="55" s="1"/>
  <c r="G299" i="9"/>
  <c r="H299" i="9" s="1"/>
  <c r="I299" i="9" s="1"/>
  <c r="G299" i="55" s="1"/>
  <c r="J299" i="55" s="1"/>
  <c r="G93" i="9"/>
  <c r="H93" i="9" s="1"/>
  <c r="I93" i="9" s="1"/>
  <c r="G93" i="55" s="1"/>
  <c r="J93" i="55" s="1"/>
  <c r="G107" i="9"/>
  <c r="H107" i="9" s="1"/>
  <c r="I107" i="9" s="1"/>
  <c r="G107" i="55" s="1"/>
  <c r="J107" i="55" s="1"/>
  <c r="G222" i="9"/>
  <c r="H222" i="9" s="1"/>
  <c r="I222" i="9" s="1"/>
  <c r="G222" i="55" s="1"/>
  <c r="J222" i="55" s="1"/>
  <c r="G90" i="9"/>
  <c r="H90" i="9" s="1"/>
  <c r="I90" i="9" s="1"/>
  <c r="G90" i="55" s="1"/>
  <c r="J90" i="55" s="1"/>
  <c r="G158" i="9"/>
  <c r="H158" i="9" s="1"/>
  <c r="I158" i="9" s="1"/>
  <c r="G158" i="55" s="1"/>
  <c r="J158" i="55" s="1"/>
  <c r="G58" i="9"/>
  <c r="H58" i="9" s="1"/>
  <c r="I58" i="9" s="1"/>
  <c r="G58" i="55" s="1"/>
  <c r="J58" i="55" s="1"/>
  <c r="G163" i="9"/>
  <c r="H163" i="9" s="1"/>
  <c r="I163" i="9" s="1"/>
  <c r="G163" i="55" s="1"/>
  <c r="G30" i="9"/>
  <c r="H30" i="9" s="1"/>
  <c r="I30" i="9" s="1"/>
  <c r="G30" i="55" s="1"/>
  <c r="J30" i="55" s="1"/>
  <c r="G79" i="9"/>
  <c r="H79" i="9" s="1"/>
  <c r="I79" i="9" s="1"/>
  <c r="G79" i="55" s="1"/>
  <c r="J79" i="55" s="1"/>
  <c r="G283" i="9"/>
  <c r="H283" i="9" s="1"/>
  <c r="I283" i="9" s="1"/>
  <c r="G283" i="55" s="1"/>
  <c r="J283" i="55" s="1"/>
  <c r="G254" i="9"/>
  <c r="H254" i="9" s="1"/>
  <c r="I254" i="9" s="1"/>
  <c r="G254" i="55" s="1"/>
  <c r="J254" i="55" s="1"/>
  <c r="G55" i="9"/>
  <c r="H55" i="9" s="1"/>
  <c r="I55" i="9" s="1"/>
  <c r="G55" i="55" s="1"/>
  <c r="J55" i="55" s="1"/>
  <c r="G245" i="9"/>
  <c r="H245" i="9" s="1"/>
  <c r="I245" i="9" s="1"/>
  <c r="G245" i="55" s="1"/>
  <c r="J245" i="55" s="1"/>
  <c r="G167" i="9"/>
  <c r="H167" i="9" s="1"/>
  <c r="I167" i="9" s="1"/>
  <c r="G167" i="55" s="1"/>
  <c r="J167" i="55" s="1"/>
  <c r="G253" i="9"/>
  <c r="H253" i="9" s="1"/>
  <c r="I253" i="9" s="1"/>
  <c r="G253" i="55" s="1"/>
  <c r="J253" i="55" s="1"/>
  <c r="G33" i="9"/>
  <c r="H33" i="9" s="1"/>
  <c r="I33" i="9" s="1"/>
  <c r="G33" i="55" s="1"/>
  <c r="J33" i="55" s="1"/>
  <c r="G36" i="9"/>
  <c r="H36" i="9" s="1"/>
  <c r="I36" i="9" s="1"/>
  <c r="G36" i="55" s="1"/>
  <c r="J36" i="55" s="1"/>
  <c r="G177" i="9"/>
  <c r="H177" i="9" s="1"/>
  <c r="I177" i="9" s="1"/>
  <c r="G177" i="55" s="1"/>
  <c r="J177" i="55" s="1"/>
  <c r="G96" i="9"/>
  <c r="H96" i="9" s="1"/>
  <c r="I96" i="9" s="1"/>
  <c r="G96" i="55" s="1"/>
  <c r="J96" i="55" s="1"/>
  <c r="G255" i="9"/>
  <c r="H255" i="9" s="1"/>
  <c r="I255" i="9" s="1"/>
  <c r="G255" i="55" s="1"/>
  <c r="J255" i="55" s="1"/>
  <c r="G196" i="9"/>
  <c r="H196" i="9" s="1"/>
  <c r="I196" i="9" s="1"/>
  <c r="G196" i="55" s="1"/>
  <c r="J196" i="55" s="1"/>
  <c r="G210" i="9"/>
  <c r="H210" i="9" s="1"/>
  <c r="I210" i="9" s="1"/>
  <c r="G210" i="55" s="1"/>
  <c r="J210" i="55" s="1"/>
  <c r="G42" i="9"/>
  <c r="H42" i="9" s="1"/>
  <c r="I42" i="9" s="1"/>
  <c r="G42" i="55" s="1"/>
  <c r="J42" i="55" s="1"/>
  <c r="G274" i="9"/>
  <c r="H274" i="9" s="1"/>
  <c r="I274" i="9" s="1"/>
  <c r="G274" i="55" s="1"/>
  <c r="J274" i="55" s="1"/>
  <c r="G269" i="9"/>
  <c r="H269" i="9" s="1"/>
  <c r="I269" i="9" s="1"/>
  <c r="G269" i="55" s="1"/>
  <c r="J269" i="55" s="1"/>
  <c r="G252" i="9"/>
  <c r="H252" i="9" s="1"/>
  <c r="I252" i="9" s="1"/>
  <c r="G252" i="55" s="1"/>
  <c r="J252" i="55" s="1"/>
  <c r="G264" i="9"/>
  <c r="H264" i="9" s="1"/>
  <c r="I264" i="9" s="1"/>
  <c r="G264" i="55" s="1"/>
  <c r="J264" i="55" s="1"/>
  <c r="G98" i="9"/>
  <c r="H98" i="9" s="1"/>
  <c r="I98" i="9" s="1"/>
  <c r="G98" i="55" s="1"/>
  <c r="J98" i="55" s="1"/>
  <c r="G230" i="9"/>
  <c r="H230" i="9" s="1"/>
  <c r="I230" i="9" s="1"/>
  <c r="G230" i="55" s="1"/>
  <c r="J230" i="55" s="1"/>
  <c r="G112" i="9"/>
  <c r="H112" i="9" s="1"/>
  <c r="I112" i="9" s="1"/>
  <c r="G112" i="55" s="1"/>
  <c r="J112" i="55" s="1"/>
  <c r="G262" i="9"/>
  <c r="H262" i="9" s="1"/>
  <c r="I262" i="9" s="1"/>
  <c r="G262" i="55" s="1"/>
  <c r="J262" i="55" s="1"/>
  <c r="G53" i="9"/>
  <c r="H53" i="9" s="1"/>
  <c r="I53" i="9" s="1"/>
  <c r="G53" i="55" s="1"/>
  <c r="J53" i="55" s="1"/>
  <c r="G67" i="9"/>
  <c r="H67" i="9" s="1"/>
  <c r="I67" i="9" s="1"/>
  <c r="G67" i="55" s="1"/>
  <c r="J67" i="55" s="1"/>
  <c r="G224" i="9"/>
  <c r="H224" i="9" s="1"/>
  <c r="I224" i="9" s="1"/>
  <c r="G224" i="55" s="1"/>
  <c r="J224" i="55" s="1"/>
  <c r="G229" i="9"/>
  <c r="H229" i="9" s="1"/>
  <c r="I229" i="9" s="1"/>
  <c r="G229" i="55" s="1"/>
  <c r="J229" i="55" s="1"/>
  <c r="G221" i="9"/>
  <c r="H221" i="9" s="1"/>
  <c r="I221" i="9" s="1"/>
  <c r="G221" i="55" s="1"/>
  <c r="J221" i="55" s="1"/>
  <c r="G127" i="9"/>
  <c r="H127" i="9" s="1"/>
  <c r="I127" i="9" s="1"/>
  <c r="G127" i="55" s="1"/>
  <c r="J127" i="55" s="1"/>
  <c r="G132" i="9"/>
  <c r="H132" i="9" s="1"/>
  <c r="I132" i="9" s="1"/>
  <c r="G132" i="55" s="1"/>
  <c r="J132" i="55" s="1"/>
  <c r="G271" i="9"/>
  <c r="H271" i="9" s="1"/>
  <c r="I271" i="9" s="1"/>
  <c r="G271" i="55" s="1"/>
  <c r="J271" i="55" s="1"/>
  <c r="G89" i="9"/>
  <c r="H89" i="9" s="1"/>
  <c r="I89" i="9" s="1"/>
  <c r="G89" i="55" s="1"/>
  <c r="J89" i="55" s="1"/>
  <c r="G78" i="9"/>
  <c r="H78" i="9" s="1"/>
  <c r="I78" i="9" s="1"/>
  <c r="G78" i="55" s="1"/>
  <c r="J78" i="55" s="1"/>
  <c r="G40" i="9"/>
  <c r="H40" i="9" s="1"/>
  <c r="I40" i="9" s="1"/>
  <c r="G40" i="55" s="1"/>
  <c r="J40" i="55" s="1"/>
  <c r="G228" i="9"/>
  <c r="H228" i="9" s="1"/>
  <c r="I228" i="9" s="1"/>
  <c r="G228" i="55" s="1"/>
  <c r="J228" i="55" s="1"/>
  <c r="G242" i="9"/>
  <c r="H242" i="9" s="1"/>
  <c r="I242" i="9" s="1"/>
  <c r="G242" i="55" s="1"/>
  <c r="J242" i="55" s="1"/>
  <c r="G74" i="9"/>
  <c r="H74" i="9" s="1"/>
  <c r="I74" i="9" s="1"/>
  <c r="G74" i="55" s="1"/>
  <c r="J74" i="55" s="1"/>
  <c r="G197" i="9"/>
  <c r="H197" i="9" s="1"/>
  <c r="I197" i="9" s="1"/>
  <c r="G197" i="55" s="1"/>
  <c r="J197" i="55" s="1"/>
  <c r="G199" i="9"/>
  <c r="H199" i="9" s="1"/>
  <c r="I199" i="9" s="1"/>
  <c r="G199" i="55" s="1"/>
  <c r="J199" i="55" s="1"/>
  <c r="G238" i="9"/>
  <c r="H238" i="9" s="1"/>
  <c r="I238" i="9" s="1"/>
  <c r="G238" i="55" s="1"/>
  <c r="J238" i="55" s="1"/>
  <c r="G31" i="9"/>
  <c r="H31" i="9" s="1"/>
  <c r="I31" i="9" s="1"/>
  <c r="G31" i="55" s="1"/>
  <c r="J31" i="55" s="1"/>
  <c r="G43" i="9"/>
  <c r="H43" i="9" s="1"/>
  <c r="I43" i="9" s="1"/>
  <c r="G43" i="55" s="1"/>
  <c r="J43" i="55" s="1"/>
  <c r="G200" i="9"/>
  <c r="H200" i="9" s="1"/>
  <c r="I200" i="9" s="1"/>
  <c r="G200" i="55" s="1"/>
  <c r="J200" i="55" s="1"/>
  <c r="G15" i="9"/>
  <c r="H15" i="9" s="1"/>
  <c r="I15" i="9" s="1"/>
  <c r="G15" i="55" s="1"/>
  <c r="J15" i="55" s="1"/>
  <c r="G92" i="9"/>
  <c r="H92" i="9" s="1"/>
  <c r="I92" i="9" s="1"/>
  <c r="G92" i="55" s="1"/>
  <c r="J92" i="55" s="1"/>
  <c r="G49" i="9"/>
  <c r="H49" i="9" s="1"/>
  <c r="I49" i="9" s="1"/>
  <c r="G49" i="55" s="1"/>
  <c r="J49" i="55" s="1"/>
  <c r="G143" i="9"/>
  <c r="H143" i="9" s="1"/>
  <c r="I143" i="9" s="1"/>
  <c r="G143" i="55" s="1"/>
  <c r="J143" i="55" s="1"/>
  <c r="G287" i="9"/>
  <c r="H287" i="9" s="1"/>
  <c r="I287" i="9" s="1"/>
  <c r="G287" i="55" s="1"/>
  <c r="J287" i="55" s="1"/>
  <c r="G142" i="9"/>
  <c r="H142" i="9" s="1"/>
  <c r="I142" i="9" s="1"/>
  <c r="G142" i="55" s="1"/>
  <c r="J142" i="55" s="1"/>
  <c r="G258" i="9"/>
  <c r="H258" i="9" s="1"/>
  <c r="I258" i="9" s="1"/>
  <c r="G258" i="55" s="1"/>
  <c r="J258" i="55" s="1"/>
  <c r="G54" i="9"/>
  <c r="H54" i="9" s="1"/>
  <c r="I54" i="9" s="1"/>
  <c r="G54" i="55" s="1"/>
  <c r="J54" i="55" s="1"/>
  <c r="G104" i="9"/>
  <c r="H104" i="9" s="1"/>
  <c r="I104" i="9" s="1"/>
  <c r="G104" i="55" s="1"/>
  <c r="J104" i="55" s="1"/>
  <c r="G124" i="9"/>
  <c r="H124" i="9" s="1"/>
  <c r="I124" i="9" s="1"/>
  <c r="G124" i="55" s="1"/>
  <c r="J124" i="55" s="1"/>
  <c r="G234" i="9"/>
  <c r="H234" i="9" s="1"/>
  <c r="I234" i="9" s="1"/>
  <c r="G234" i="55" s="1"/>
  <c r="J234" i="55" s="1"/>
  <c r="G129" i="9"/>
  <c r="H129" i="9" s="1"/>
  <c r="I129" i="9" s="1"/>
  <c r="G129" i="55" s="1"/>
  <c r="J129" i="55" s="1"/>
  <c r="G10" i="9"/>
  <c r="H10" i="9" s="1"/>
  <c r="I10" i="9" s="1"/>
  <c r="G10" i="55" s="1"/>
  <c r="J10" i="55" s="1"/>
  <c r="G41" i="9"/>
  <c r="H41" i="9" s="1"/>
  <c r="I41" i="9" s="1"/>
  <c r="G41" i="55" s="1"/>
  <c r="J41" i="55" s="1"/>
  <c r="G194" i="9"/>
  <c r="H194" i="9" s="1"/>
  <c r="I194" i="9" s="1"/>
  <c r="G194" i="55" s="1"/>
  <c r="J194" i="55" s="1"/>
  <c r="G59" i="9"/>
  <c r="H59" i="9" s="1"/>
  <c r="I59" i="9" s="1"/>
  <c r="G59" i="55" s="1"/>
  <c r="J59" i="55" s="1"/>
  <c r="G60" i="9"/>
  <c r="H60" i="9" s="1"/>
  <c r="I60" i="9" s="1"/>
  <c r="G60" i="55" s="1"/>
  <c r="J60" i="55" s="1"/>
  <c r="G170" i="9"/>
  <c r="H170" i="9" s="1"/>
  <c r="I170" i="9" s="1"/>
  <c r="G170" i="55" s="1"/>
  <c r="J170" i="55" s="1"/>
  <c r="G213" i="9"/>
  <c r="H213" i="9" s="1"/>
  <c r="I213" i="9" s="1"/>
  <c r="G213" i="55" s="1"/>
  <c r="J213" i="55" s="1"/>
  <c r="G56" i="9"/>
  <c r="H56" i="9" s="1"/>
  <c r="I56" i="9" s="1"/>
  <c r="G56" i="55" s="1"/>
  <c r="J56" i="55" s="1"/>
  <c r="G266" i="9"/>
  <c r="H266" i="9" s="1"/>
  <c r="I266" i="9" s="1"/>
  <c r="G266" i="55" s="1"/>
  <c r="J266" i="55" s="1"/>
  <c r="G280" i="9"/>
  <c r="H280" i="9" s="1"/>
  <c r="I280" i="9" s="1"/>
  <c r="G280" i="55" s="1"/>
  <c r="J280" i="55" s="1"/>
  <c r="G114" i="9"/>
  <c r="H114" i="9" s="1"/>
  <c r="I114" i="9" s="1"/>
  <c r="G114" i="55" s="1"/>
  <c r="J114" i="55" s="1"/>
  <c r="G166" i="9"/>
  <c r="H166" i="9" s="1"/>
  <c r="I166" i="9" s="1"/>
  <c r="G166" i="55" s="1"/>
  <c r="J166" i="55" s="1"/>
  <c r="G150" i="9"/>
  <c r="H150" i="9" s="1"/>
  <c r="I150" i="9" s="1"/>
  <c r="G150" i="55" s="1"/>
  <c r="J150" i="55" s="1"/>
  <c r="G133" i="9"/>
  <c r="H133" i="9" s="1"/>
  <c r="I133" i="9" s="1"/>
  <c r="G133" i="55" s="1"/>
  <c r="J133" i="55" s="1"/>
  <c r="G147" i="9"/>
  <c r="H147" i="9" s="1"/>
  <c r="I147" i="9" s="1"/>
  <c r="G147" i="55" s="1"/>
  <c r="J147" i="55" s="1"/>
  <c r="G301" i="9"/>
  <c r="H301" i="9" s="1"/>
  <c r="I301" i="9" s="1"/>
  <c r="G301" i="55" s="1"/>
  <c r="J301" i="55" s="1"/>
  <c r="G44" i="9"/>
  <c r="H44" i="9" s="1"/>
  <c r="I44" i="9" s="1"/>
  <c r="G44" i="55" s="1"/>
  <c r="J44" i="55" s="1"/>
  <c r="G159" i="9"/>
  <c r="H159" i="9" s="1"/>
  <c r="I159" i="9" s="1"/>
  <c r="G159" i="55" s="1"/>
  <c r="J159" i="55" s="1"/>
  <c r="G188" i="9"/>
  <c r="H188" i="9" s="1"/>
  <c r="I188" i="9" s="1"/>
  <c r="G188" i="55" s="1"/>
  <c r="J188" i="55" s="1"/>
  <c r="G202" i="9"/>
  <c r="H202" i="9" s="1"/>
  <c r="I202" i="9" s="1"/>
  <c r="G202" i="55" s="1"/>
  <c r="J202" i="55" s="1"/>
  <c r="G149" i="9"/>
  <c r="H149" i="9" s="1"/>
  <c r="I149" i="9" s="1"/>
  <c r="G149" i="55" s="1"/>
  <c r="J149" i="55" s="1"/>
  <c r="G128" i="9"/>
  <c r="H128" i="9" s="1"/>
  <c r="I128" i="9" s="1"/>
  <c r="G128" i="55" s="1"/>
  <c r="J128" i="55" s="1"/>
  <c r="G198" i="9"/>
  <c r="H198" i="9" s="1"/>
  <c r="I198" i="9" s="1"/>
  <c r="G198" i="55" s="1"/>
  <c r="J198" i="55" s="1"/>
  <c r="G211" i="9"/>
  <c r="H211" i="9" s="1"/>
  <c r="I211" i="9" s="1"/>
  <c r="G211" i="55" s="1"/>
  <c r="J211" i="55" s="1"/>
  <c r="G296" i="9"/>
  <c r="H296" i="9" s="1"/>
  <c r="I296" i="9" s="1"/>
  <c r="G296" i="55" s="1"/>
  <c r="J296" i="55" s="1"/>
  <c r="G160" i="9"/>
  <c r="H160" i="9" s="1"/>
  <c r="I160" i="9" s="1"/>
  <c r="G160" i="55" s="1"/>
  <c r="J160" i="55" s="1"/>
  <c r="G277" i="9"/>
  <c r="H277" i="9" s="1"/>
  <c r="I277" i="9" s="1"/>
  <c r="G277" i="55" s="1"/>
  <c r="J277" i="55" s="1"/>
  <c r="G293" i="9"/>
  <c r="H293" i="9" s="1"/>
  <c r="I293" i="9" s="1"/>
  <c r="G293" i="55" s="1"/>
  <c r="J293" i="55" s="1"/>
  <c r="G63" i="9"/>
  <c r="H63" i="9" s="1"/>
  <c r="I63" i="9" s="1"/>
  <c r="G63" i="55" s="1"/>
  <c r="J63" i="55" s="1"/>
  <c r="G68" i="9"/>
  <c r="H68" i="9" s="1"/>
  <c r="I68" i="9" s="1"/>
  <c r="G68" i="55" s="1"/>
  <c r="J68" i="55" s="1"/>
  <c r="G209" i="9"/>
  <c r="H209" i="9" s="1"/>
  <c r="I209" i="9" s="1"/>
  <c r="G209" i="55" s="1"/>
  <c r="J209" i="55" s="1"/>
  <c r="G27" i="9"/>
  <c r="H27" i="9" s="1"/>
  <c r="I27" i="9" s="1"/>
  <c r="G27" i="55" s="1"/>
  <c r="J27" i="55" s="1"/>
  <c r="G267" i="9"/>
  <c r="H267" i="9" s="1"/>
  <c r="I267" i="9" s="1"/>
  <c r="G267" i="55" s="1"/>
  <c r="J267" i="55" s="1"/>
  <c r="G275" i="9"/>
  <c r="H275" i="9" s="1"/>
  <c r="I275" i="9" s="1"/>
  <c r="G275" i="55" s="1"/>
  <c r="J275" i="55" s="1"/>
  <c r="G164" i="9"/>
  <c r="H164" i="9" s="1"/>
  <c r="I164" i="9" s="1"/>
  <c r="G164" i="55" s="1"/>
  <c r="J164" i="55" s="1"/>
  <c r="G178" i="9"/>
  <c r="H178" i="9" s="1"/>
  <c r="I178" i="9" s="1"/>
  <c r="G178" i="55" s="1"/>
  <c r="J178" i="55" s="1"/>
  <c r="G12" i="9"/>
  <c r="H12" i="9" s="1"/>
  <c r="I12" i="9" s="1"/>
  <c r="G12" i="55" s="1"/>
  <c r="J12" i="55" s="1"/>
  <c r="G103" i="9"/>
  <c r="H103" i="9" s="1"/>
  <c r="I103" i="9" s="1"/>
  <c r="G103" i="55" s="1"/>
  <c r="J103" i="55" s="1"/>
  <c r="G239" i="9"/>
  <c r="H239" i="9" s="1"/>
  <c r="I239" i="9" s="1"/>
  <c r="G239" i="55" s="1"/>
  <c r="J239" i="55" s="1"/>
  <c r="G174" i="9"/>
  <c r="H174" i="9" s="1"/>
  <c r="I174" i="9" s="1"/>
  <c r="G174" i="55" s="1"/>
  <c r="J174" i="55" s="1"/>
  <c r="G179" i="9"/>
  <c r="H179" i="9" s="1"/>
  <c r="I179" i="9" s="1"/>
  <c r="G179" i="55" s="1"/>
  <c r="J179" i="55" s="1"/>
  <c r="G203" i="9"/>
  <c r="H203" i="9" s="1"/>
  <c r="I203" i="9" s="1"/>
  <c r="G203" i="55" s="1"/>
  <c r="J203" i="55" s="1"/>
  <c r="G137" i="9"/>
  <c r="H137" i="9" s="1"/>
  <c r="I137" i="9" s="1"/>
  <c r="G137" i="55" s="1"/>
  <c r="J137" i="55" s="1"/>
  <c r="G111" i="9"/>
  <c r="H111" i="9" s="1"/>
  <c r="I111" i="9" s="1"/>
  <c r="G111" i="55" s="1"/>
  <c r="J111" i="55" s="1"/>
  <c r="G29" i="9"/>
  <c r="H29" i="9" s="1"/>
  <c r="I29" i="9" s="1"/>
  <c r="G29" i="55" s="1"/>
  <c r="J29" i="55" s="1"/>
  <c r="G80" i="9"/>
  <c r="H80" i="9" s="1"/>
  <c r="I80" i="9" s="1"/>
  <c r="G80" i="55" s="1"/>
  <c r="J80" i="55" s="1"/>
  <c r="G278" i="9"/>
  <c r="H278" i="9" s="1"/>
  <c r="I278" i="9" s="1"/>
  <c r="G278" i="55" s="1"/>
  <c r="J278" i="55" s="1"/>
  <c r="G263" i="9"/>
  <c r="H263" i="9" s="1"/>
  <c r="I263" i="9" s="1"/>
  <c r="G263" i="55" s="1"/>
  <c r="J263" i="55" s="1"/>
  <c r="G169" i="9"/>
  <c r="H169" i="9" s="1"/>
  <c r="I169" i="9" s="1"/>
  <c r="G169" i="55" s="1"/>
  <c r="J169" i="55" s="1"/>
  <c r="G84" i="9"/>
  <c r="H84" i="9" s="1"/>
  <c r="I84" i="9" s="1"/>
  <c r="G84" i="55" s="1"/>
  <c r="J84" i="55" s="1"/>
  <c r="G180" i="9"/>
  <c r="H180" i="9" s="1"/>
  <c r="I180" i="9" s="1"/>
  <c r="G180" i="55" s="1"/>
  <c r="J180" i="55" s="1"/>
  <c r="G300" i="9"/>
  <c r="H300" i="9" s="1"/>
  <c r="I300" i="9" s="1"/>
  <c r="G300" i="55" s="1"/>
  <c r="J300" i="55" s="1"/>
  <c r="G136" i="9"/>
  <c r="H136" i="9" s="1"/>
  <c r="I136" i="9" s="1"/>
  <c r="G136" i="55" s="1"/>
  <c r="J136" i="55" s="1"/>
  <c r="G237" i="9"/>
  <c r="H237" i="9" s="1"/>
  <c r="I237" i="9" s="1"/>
  <c r="G237" i="55" s="1"/>
  <c r="J237" i="55" s="1"/>
  <c r="G39" i="9"/>
  <c r="H39" i="9" s="1"/>
  <c r="I39" i="9" s="1"/>
  <c r="G39" i="55" s="1"/>
  <c r="J39" i="55" s="1"/>
  <c r="G70" i="9"/>
  <c r="H70" i="9" s="1"/>
  <c r="I70" i="9" s="1"/>
  <c r="G70" i="55" s="1"/>
  <c r="J70" i="55" s="1"/>
  <c r="G204" i="9"/>
  <c r="H204" i="9" s="1"/>
  <c r="I204" i="9" s="1"/>
  <c r="G204" i="55" s="1"/>
  <c r="J204" i="55" s="1"/>
  <c r="G218" i="9"/>
  <c r="H218" i="9" s="1"/>
  <c r="I218" i="9" s="1"/>
  <c r="G218" i="55" s="1"/>
  <c r="J218" i="55" s="1"/>
  <c r="G50" i="9"/>
  <c r="H50" i="9" s="1"/>
  <c r="I50" i="9" s="1"/>
  <c r="G50" i="55" s="1"/>
  <c r="J50" i="55" s="1"/>
  <c r="G85" i="9"/>
  <c r="H85" i="9" s="1"/>
  <c r="I85" i="9" s="1"/>
  <c r="G85" i="55" s="1"/>
  <c r="J85" i="55" s="1"/>
  <c r="G276" i="9"/>
  <c r="H276" i="9" s="1"/>
  <c r="I276" i="9" s="1"/>
  <c r="G276" i="55" s="1"/>
  <c r="J276" i="55" s="1"/>
  <c r="G69" i="9"/>
  <c r="H69" i="9" s="1"/>
  <c r="I69" i="9" s="1"/>
  <c r="G69" i="55" s="1"/>
  <c r="J69" i="55" s="1"/>
  <c r="G83" i="9"/>
  <c r="H83" i="9" s="1"/>
  <c r="I83" i="9" s="1"/>
  <c r="G83" i="55" s="1"/>
  <c r="J83" i="55" s="1"/>
  <c r="G240" i="9"/>
  <c r="H240" i="9" s="1"/>
  <c r="I240" i="9" s="1"/>
  <c r="G240" i="55" s="1"/>
  <c r="J240" i="55" s="1"/>
  <c r="G35" i="9"/>
  <c r="H35" i="9" s="1"/>
  <c r="I35" i="9" s="1"/>
  <c r="G35" i="55" s="1"/>
  <c r="J35" i="55" s="1"/>
  <c r="G118" i="9"/>
  <c r="H118" i="9" s="1"/>
  <c r="I118" i="9" s="1"/>
  <c r="G118" i="55" s="1"/>
  <c r="J118" i="55" s="1"/>
  <c r="G125" i="9"/>
  <c r="H125" i="9" s="1"/>
  <c r="I125" i="9" s="1"/>
  <c r="G125" i="55" s="1"/>
  <c r="J125" i="55" s="1"/>
  <c r="G139" i="9"/>
  <c r="H139" i="9" s="1"/>
  <c r="I139" i="9" s="1"/>
  <c r="G139" i="55" s="1"/>
  <c r="J139" i="55" s="1"/>
  <c r="G162" i="9"/>
  <c r="H162" i="9" s="1"/>
  <c r="I162" i="9" s="1"/>
  <c r="G162" i="55" s="1"/>
  <c r="J162" i="55" s="1"/>
  <c r="G191" i="9"/>
  <c r="H191" i="9" s="1"/>
  <c r="I191" i="9" s="1"/>
  <c r="G191" i="55" s="1"/>
  <c r="J191" i="55" s="1"/>
  <c r="G135" i="9"/>
  <c r="H135" i="9" s="1"/>
  <c r="I135" i="9" s="1"/>
  <c r="G135" i="55" s="1"/>
  <c r="J135" i="55" s="1"/>
  <c r="G140" i="9"/>
  <c r="H140" i="9" s="1"/>
  <c r="I140" i="9" s="1"/>
  <c r="G140" i="55" s="1"/>
  <c r="J140" i="55" s="1"/>
  <c r="G279" i="9"/>
  <c r="H279" i="9" s="1"/>
  <c r="I279" i="9" s="1"/>
  <c r="G279" i="55" s="1"/>
  <c r="J279" i="55" s="1"/>
  <c r="G97" i="9"/>
  <c r="H97" i="9" s="1"/>
  <c r="I97" i="9" s="1"/>
  <c r="G97" i="55" s="1"/>
  <c r="J97" i="55" s="1"/>
  <c r="G165" i="9"/>
  <c r="H165" i="9" s="1"/>
  <c r="I165" i="9" s="1"/>
  <c r="G165" i="55" s="1"/>
  <c r="J165" i="55" s="1"/>
  <c r="G183" i="9"/>
  <c r="H183" i="9" s="1"/>
  <c r="I183" i="9" s="1"/>
  <c r="G183" i="55" s="1"/>
  <c r="J183" i="55" s="1"/>
  <c r="G297" i="9"/>
  <c r="H297" i="9" s="1"/>
  <c r="I297" i="9" s="1"/>
  <c r="G297" i="55" s="1"/>
  <c r="J297" i="55" s="1"/>
  <c r="G281" i="9"/>
  <c r="H281" i="9" s="1"/>
  <c r="I281" i="9" s="1"/>
  <c r="G281" i="55" s="1"/>
  <c r="J281" i="55" s="1"/>
  <c r="G146" i="9"/>
  <c r="H146" i="9" s="1"/>
  <c r="I146" i="9" s="1"/>
  <c r="G146" i="55" s="1"/>
  <c r="J146" i="55" s="1"/>
  <c r="G94" i="9"/>
  <c r="H94" i="9" s="1"/>
  <c r="I94" i="9" s="1"/>
  <c r="G94" i="55" s="1"/>
  <c r="J94" i="55" s="1"/>
  <c r="G16" i="9"/>
  <c r="H16" i="9" s="1"/>
  <c r="I16" i="9" s="1"/>
  <c r="G16" i="55" s="1"/>
  <c r="J16" i="55" s="1"/>
  <c r="G24" i="9"/>
  <c r="H24" i="9" s="1"/>
  <c r="I24" i="9" s="1"/>
  <c r="G24" i="55" s="1"/>
  <c r="J24" i="55" s="1"/>
  <c r="G101" i="9"/>
  <c r="H101" i="9" s="1"/>
  <c r="I101" i="9" s="1"/>
  <c r="G101" i="55" s="1"/>
  <c r="J101" i="55" s="1"/>
  <c r="G115" i="9"/>
  <c r="H115" i="9" s="1"/>
  <c r="I115" i="9" s="1"/>
  <c r="G115" i="55" s="1"/>
  <c r="J115" i="55" s="1"/>
  <c r="G270" i="9"/>
  <c r="H270" i="9" s="1"/>
  <c r="I270" i="9" s="1"/>
  <c r="G270" i="55" s="1"/>
  <c r="J270" i="55" s="1"/>
  <c r="G171" i="9"/>
  <c r="H171" i="9" s="1"/>
  <c r="I171" i="9" s="1"/>
  <c r="G171" i="55" s="1"/>
  <c r="J171" i="55" s="1"/>
  <c r="G126" i="9"/>
  <c r="H126" i="9" s="1"/>
  <c r="I126" i="9" s="1"/>
  <c r="G126" i="55" s="1"/>
  <c r="J126" i="55" s="1"/>
  <c r="G116" i="9"/>
  <c r="H116" i="9" s="1"/>
  <c r="I116" i="9" s="1"/>
  <c r="G116" i="55" s="1"/>
  <c r="J116" i="55" s="1"/>
  <c r="G257" i="9"/>
  <c r="H257" i="9" s="1"/>
  <c r="I257" i="9" s="1"/>
  <c r="G257" i="55" s="1"/>
  <c r="J257" i="55" s="1"/>
  <c r="G73" i="9"/>
  <c r="H73" i="9" s="1"/>
  <c r="I73" i="9" s="1"/>
  <c r="G73" i="55" s="1"/>
  <c r="J73" i="55" s="1"/>
  <c r="G185" i="9"/>
  <c r="H185" i="9" s="1"/>
  <c r="I185" i="9" s="1"/>
  <c r="G185" i="55" s="1"/>
  <c r="J185" i="55" s="1"/>
  <c r="G46" i="9"/>
  <c r="H46" i="9" s="1"/>
  <c r="I46" i="9" s="1"/>
  <c r="G46" i="55" s="1"/>
  <c r="J46" i="55" s="1"/>
  <c r="G291" i="9"/>
  <c r="H291" i="9" s="1"/>
  <c r="I291" i="9" s="1"/>
  <c r="G291" i="55" s="1"/>
  <c r="J291" i="55" s="1"/>
  <c r="G102" i="9"/>
  <c r="H102" i="9" s="1"/>
  <c r="I102" i="9" s="1"/>
  <c r="G102" i="55" s="1"/>
  <c r="J102" i="55" s="1"/>
  <c r="G45" i="9"/>
  <c r="H45" i="9" s="1"/>
  <c r="I45" i="9" s="1"/>
  <c r="G45" i="55" s="1"/>
  <c r="J45" i="55" s="1"/>
  <c r="G157" i="9"/>
  <c r="H157" i="9" s="1"/>
  <c r="I157" i="9" s="1"/>
  <c r="G157" i="55" s="1"/>
  <c r="J157" i="55" s="1"/>
  <c r="G108" i="9"/>
  <c r="H108" i="9" s="1"/>
  <c r="I108" i="9" s="1"/>
  <c r="G108" i="55" s="1"/>
  <c r="J108" i="55" s="1"/>
  <c r="G181" i="9"/>
  <c r="H181" i="9" s="1"/>
  <c r="I181" i="9" s="1"/>
  <c r="G181" i="55" s="1"/>
  <c r="J181" i="55" s="1"/>
  <c r="G141" i="9"/>
  <c r="H141" i="9" s="1"/>
  <c r="I141" i="9" s="1"/>
  <c r="G141" i="55" s="1"/>
  <c r="J141" i="55" s="1"/>
  <c r="G155" i="9"/>
  <c r="H155" i="9" s="1"/>
  <c r="I155" i="9" s="1"/>
  <c r="G155" i="55" s="1"/>
  <c r="J155" i="55" s="1"/>
  <c r="G227" i="9"/>
  <c r="H227" i="9" s="1"/>
  <c r="I227" i="9" s="1"/>
  <c r="G227" i="55" s="1"/>
  <c r="J227" i="55" s="1"/>
  <c r="G288" i="9"/>
  <c r="H288" i="9" s="1"/>
  <c r="I288" i="9" s="1"/>
  <c r="G288" i="55" s="1"/>
  <c r="J288" i="55" s="1"/>
  <c r="G214" i="9"/>
  <c r="H214" i="9" s="1"/>
  <c r="I214" i="9" s="1"/>
  <c r="G214" i="55" s="1"/>
  <c r="J214" i="55" s="1"/>
  <c r="G265" i="9"/>
  <c r="H265" i="9" s="1"/>
  <c r="I265" i="9" s="1"/>
  <c r="G265" i="55" s="1"/>
  <c r="J265" i="55" s="1"/>
  <c r="G21" i="9"/>
  <c r="H21" i="9" s="1"/>
  <c r="I21" i="9" s="1"/>
  <c r="G21" i="55" s="1"/>
  <c r="J21" i="55" s="1"/>
  <c r="G176" i="9"/>
  <c r="H176" i="9" s="1"/>
  <c r="I176" i="9" s="1"/>
  <c r="G176" i="55" s="1"/>
  <c r="J176" i="55" s="1"/>
  <c r="G122" i="9"/>
  <c r="H122" i="9" s="1"/>
  <c r="I122" i="9" s="1"/>
  <c r="G122" i="55" s="1"/>
  <c r="J122" i="55" s="1"/>
  <c r="G268" i="9"/>
  <c r="H268" i="9" s="1"/>
  <c r="I268" i="9" s="1"/>
  <c r="G268" i="55" s="1"/>
  <c r="J268" i="55" s="1"/>
  <c r="G61" i="9"/>
  <c r="H61" i="9" s="1"/>
  <c r="I61" i="9" s="1"/>
  <c r="G61" i="55" s="1"/>
  <c r="J61" i="55" s="1"/>
  <c r="G75" i="9"/>
  <c r="H75" i="9" s="1"/>
  <c r="I75" i="9" s="1"/>
  <c r="G75" i="55" s="1"/>
  <c r="J75" i="55" s="1"/>
  <c r="G232" i="9"/>
  <c r="H232" i="9" s="1"/>
  <c r="I232" i="9" s="1"/>
  <c r="G232" i="55" s="1"/>
  <c r="J232" i="55" s="1"/>
  <c r="G65" i="9"/>
  <c r="H65" i="9" s="1"/>
  <c r="I65" i="9" s="1"/>
  <c r="G65" i="55" s="1"/>
  <c r="J65" i="55" s="1"/>
  <c r="G18" i="9"/>
  <c r="H18" i="9" s="1"/>
  <c r="I18" i="9" s="1"/>
  <c r="G18" i="55" s="1"/>
  <c r="J18" i="55" s="1"/>
  <c r="G71" i="9"/>
  <c r="H71" i="9" s="1"/>
  <c r="I71" i="9" s="1"/>
  <c r="G71" i="55" s="1"/>
  <c r="J71" i="55" s="1"/>
  <c r="G76" i="9"/>
  <c r="H76" i="9" s="1"/>
  <c r="I76" i="9" s="1"/>
  <c r="G76" i="55" s="1"/>
  <c r="J76" i="55" s="1"/>
  <c r="G217" i="9"/>
  <c r="H217" i="9" s="1"/>
  <c r="I217" i="9" s="1"/>
  <c r="G217" i="55" s="1"/>
  <c r="J217" i="55" s="1"/>
  <c r="G38" i="9"/>
  <c r="H38" i="9" s="1"/>
  <c r="I38" i="9" s="1"/>
  <c r="G38" i="55" s="1"/>
  <c r="J38" i="55" s="1"/>
  <c r="G231" i="9"/>
  <c r="H231" i="9" s="1"/>
  <c r="I231" i="9" s="1"/>
  <c r="G231" i="55" s="1"/>
  <c r="J231" i="55" s="1"/>
  <c r="G236" i="9"/>
  <c r="H236" i="9" s="1"/>
  <c r="I236" i="9" s="1"/>
  <c r="G236" i="55" s="1"/>
  <c r="J236" i="55" s="1"/>
  <c r="G250" i="9"/>
  <c r="H250" i="9" s="1"/>
  <c r="G82" i="9"/>
  <c r="H82" i="9" s="1"/>
  <c r="I82" i="9" s="1"/>
  <c r="G82" i="55" s="1"/>
  <c r="J82" i="55" s="1"/>
  <c r="G212" i="9"/>
  <c r="H212" i="9" s="1"/>
  <c r="I212" i="9" s="1"/>
  <c r="G212" i="55" s="1"/>
  <c r="J212" i="55" s="1"/>
  <c r="G144" i="9"/>
  <c r="H144" i="9" s="1"/>
  <c r="I144" i="9" s="1"/>
  <c r="G144" i="55" s="1"/>
  <c r="J144" i="55" s="1"/>
  <c r="G246" i="9"/>
  <c r="H246" i="9" s="1"/>
  <c r="I246" i="9" s="1"/>
  <c r="G246" i="55" s="1"/>
  <c r="J246" i="55" s="1"/>
  <c r="G37" i="9"/>
  <c r="H37" i="9" s="1"/>
  <c r="I37" i="9" s="1"/>
  <c r="G37" i="55" s="1"/>
  <c r="J37" i="55" s="1"/>
  <c r="G51" i="9"/>
  <c r="H51" i="9" s="1"/>
  <c r="I51" i="9" s="1"/>
  <c r="G51" i="55" s="1"/>
  <c r="J51" i="55" s="1"/>
  <c r="G208" i="9"/>
  <c r="H208" i="9" s="1"/>
  <c r="I208" i="9" s="1"/>
  <c r="G208" i="55" s="1"/>
  <c r="J208" i="55" s="1"/>
  <c r="G226" i="9"/>
  <c r="H226" i="9" s="1"/>
  <c r="I226" i="9" s="1"/>
  <c r="G226" i="55" s="1"/>
  <c r="J226" i="55" s="1"/>
  <c r="G223" i="9"/>
  <c r="H223" i="9" s="1"/>
  <c r="I223" i="9" s="1"/>
  <c r="G223" i="55" s="1"/>
  <c r="J223" i="55" s="1"/>
  <c r="G47" i="9"/>
  <c r="H47" i="9" s="1"/>
  <c r="I47" i="9" s="1"/>
  <c r="G47" i="55" s="1"/>
  <c r="J47" i="55" s="1"/>
  <c r="G52" i="9"/>
  <c r="H52" i="9" s="1"/>
  <c r="I52" i="9" s="1"/>
  <c r="G52" i="55" s="1"/>
  <c r="J52" i="55" s="1"/>
  <c r="G193" i="9"/>
  <c r="H193" i="9" s="1"/>
  <c r="I193" i="9" s="1"/>
  <c r="G193" i="55" s="1"/>
  <c r="J193" i="55" s="1"/>
  <c r="G259" i="9"/>
  <c r="H259" i="9" s="1"/>
  <c r="I259" i="9" s="1"/>
  <c r="G259" i="55" s="1"/>
  <c r="J259" i="55" s="1"/>
  <c r="G109" i="9"/>
  <c r="H109" i="9" s="1"/>
  <c r="I109" i="9" s="1"/>
  <c r="G109" i="55" s="1"/>
  <c r="J109" i="55" s="1"/>
  <c r="G220" i="9"/>
  <c r="H220" i="9" s="1"/>
  <c r="I220" i="9" s="1"/>
  <c r="G220" i="55" s="1"/>
  <c r="J220" i="55" s="1"/>
  <c r="G121" i="9"/>
  <c r="H121" i="9" s="1"/>
  <c r="I121" i="9" s="1"/>
  <c r="G121" i="55" s="1"/>
  <c r="J121" i="55" s="1"/>
  <c r="G225" i="9"/>
  <c r="H225" i="9" s="1"/>
  <c r="I225" i="9" s="1"/>
  <c r="G225" i="55" s="1"/>
  <c r="J225" i="55" s="1"/>
  <c r="G192" i="9"/>
  <c r="H192" i="9" s="1"/>
  <c r="I192" i="9" s="1"/>
  <c r="G192" i="55" s="1"/>
  <c r="J192" i="55" s="1"/>
  <c r="G134" i="9"/>
  <c r="H134" i="9" s="1"/>
  <c r="I134" i="9" s="1"/>
  <c r="G134" i="55" s="1"/>
  <c r="J134" i="55" s="1"/>
  <c r="G19" i="9"/>
  <c r="H19" i="9" s="1"/>
  <c r="I19" i="9" s="1"/>
  <c r="G19" i="55" s="1"/>
  <c r="J19" i="55" s="1"/>
  <c r="G99" i="9"/>
  <c r="H99" i="9" s="1"/>
  <c r="I99" i="9" s="1"/>
  <c r="G99" i="55" s="1"/>
  <c r="J99" i="55" s="1"/>
  <c r="G284" i="9"/>
  <c r="H284" i="9" s="1"/>
  <c r="I284" i="9" s="1"/>
  <c r="G284" i="55" s="1"/>
  <c r="J284" i="55" s="1"/>
  <c r="G77" i="9"/>
  <c r="H77" i="9" s="1"/>
  <c r="I77" i="9" s="1"/>
  <c r="G77" i="55" s="1"/>
  <c r="J77" i="55" s="1"/>
  <c r="G91" i="9"/>
  <c r="H91" i="9" s="1"/>
  <c r="I91" i="9" s="1"/>
  <c r="G91" i="55" s="1"/>
  <c r="J91" i="55" s="1"/>
  <c r="G248" i="9"/>
  <c r="H248" i="9" s="1"/>
  <c r="I248" i="9" s="1"/>
  <c r="G248" i="55" s="1"/>
  <c r="J248" i="55" s="1"/>
  <c r="G295" i="9"/>
  <c r="H295" i="9" s="1"/>
  <c r="I295" i="9" s="1"/>
  <c r="G295" i="55" s="1"/>
  <c r="J295" i="55" s="1"/>
  <c r="G151" i="9"/>
  <c r="H151" i="9" s="1"/>
  <c r="I151" i="9" s="1"/>
  <c r="G151" i="55" s="1"/>
  <c r="J151" i="55" s="1"/>
  <c r="G156" i="9"/>
  <c r="H156" i="9" s="1"/>
  <c r="I156" i="9" s="1"/>
  <c r="G156" i="55" s="1"/>
  <c r="J156" i="55" s="1"/>
  <c r="G294" i="9"/>
  <c r="H294" i="9" s="1"/>
  <c r="I294" i="9" s="1"/>
  <c r="G294" i="55" s="1"/>
  <c r="J294" i="55" s="1"/>
  <c r="G113" i="9"/>
  <c r="H113" i="9" s="1"/>
  <c r="I113" i="9" s="1"/>
  <c r="G113" i="55" s="1"/>
  <c r="J113" i="55" s="1"/>
  <c r="G256" i="9"/>
  <c r="H256" i="9" s="1"/>
  <c r="I256" i="9" s="1"/>
  <c r="G256" i="55" s="1"/>
  <c r="J256" i="55" s="1"/>
  <c r="G206" i="9"/>
  <c r="H206" i="9" s="1"/>
  <c r="I206" i="9" s="1"/>
  <c r="G206" i="55" s="1"/>
  <c r="J206" i="55" s="1"/>
  <c r="G235" i="9"/>
  <c r="H235" i="9" s="1"/>
  <c r="I235" i="9" s="1"/>
  <c r="G235" i="55" s="1"/>
  <c r="J235" i="55" s="1"/>
  <c r="G13" i="9"/>
  <c r="H13" i="9" s="1"/>
  <c r="I13" i="9" s="1"/>
  <c r="G13" i="55" s="1"/>
  <c r="J13" i="55" s="1"/>
  <c r="G168" i="9"/>
  <c r="H168" i="9" s="1"/>
  <c r="I168" i="9" s="1"/>
  <c r="G168" i="55" s="1"/>
  <c r="J168" i="55" s="1"/>
  <c r="G72" i="9"/>
  <c r="H72" i="9" s="1"/>
  <c r="I72" i="9" s="1"/>
  <c r="G72" i="55" s="1"/>
  <c r="J72" i="55" s="1"/>
  <c r="G215" i="9"/>
  <c r="H215" i="9" s="1"/>
  <c r="I215" i="9" s="1"/>
  <c r="G215" i="55" s="1"/>
  <c r="J215" i="55" s="1"/>
  <c r="G9" i="9"/>
  <c r="H9" i="9" s="1"/>
  <c r="I9" i="9" s="1"/>
  <c r="G9" i="55" s="1"/>
  <c r="J9" i="55" s="1"/>
  <c r="G14" i="9"/>
  <c r="H14" i="9" s="1"/>
  <c r="I14" i="9" s="1"/>
  <c r="G14" i="55" s="1"/>
  <c r="J14" i="55" s="1"/>
  <c r="G154" i="9"/>
  <c r="H154" i="9" s="1"/>
  <c r="I154" i="9" s="1"/>
  <c r="G154" i="55" s="1"/>
  <c r="J154" i="55" s="1"/>
  <c r="G88" i="9"/>
  <c r="H88" i="9" s="1"/>
  <c r="I88" i="9" s="1"/>
  <c r="G88" i="55" s="1"/>
  <c r="J88" i="55" s="1"/>
  <c r="G298" i="9"/>
  <c r="H298" i="9" s="1"/>
  <c r="I298" i="9" s="1"/>
  <c r="G298" i="55" s="1"/>
  <c r="J298" i="55" s="1"/>
  <c r="G189" i="9"/>
  <c r="H189" i="9" s="1"/>
  <c r="I189" i="9" s="1"/>
  <c r="G189" i="55" s="1"/>
  <c r="J189" i="55" s="1"/>
  <c r="G172" i="9"/>
  <c r="H172" i="9" s="1"/>
  <c r="I172" i="9" s="1"/>
  <c r="G172" i="55" s="1"/>
  <c r="J172" i="55" s="1"/>
  <c r="G186" i="9"/>
  <c r="H186" i="9" s="1"/>
  <c r="I186" i="9" s="1"/>
  <c r="G186" i="55" s="1"/>
  <c r="J186" i="55" s="1"/>
  <c r="G20" i="9"/>
  <c r="H20" i="9" s="1"/>
  <c r="I20" i="9" s="1"/>
  <c r="G20" i="55" s="1"/>
  <c r="J20" i="55" s="1"/>
  <c r="G261" i="9"/>
  <c r="H261" i="9" s="1"/>
  <c r="I261" i="9" s="1"/>
  <c r="G261" i="55" s="1"/>
  <c r="J261" i="55" s="1"/>
  <c r="G34" i="9"/>
  <c r="H34" i="9" s="1"/>
  <c r="I34" i="9" s="1"/>
  <c r="G34" i="55" s="1"/>
  <c r="J34" i="55" s="1"/>
  <c r="G182" i="9"/>
  <c r="H182" i="9" s="1"/>
  <c r="I182" i="9" s="1"/>
  <c r="G182" i="55" s="1"/>
  <c r="J182" i="55" s="1"/>
  <c r="G187" i="9"/>
  <c r="H187" i="9" s="1"/>
  <c r="I187" i="9" s="1"/>
  <c r="G187" i="55" s="1"/>
  <c r="J187" i="55" s="1"/>
  <c r="G243" i="9"/>
  <c r="H243" i="9" s="1"/>
  <c r="I243" i="9" s="1"/>
  <c r="G243" i="55" s="1"/>
  <c r="J243" i="55" s="1"/>
  <c r="G145" i="9"/>
  <c r="H145" i="9" s="1"/>
  <c r="I145" i="9" s="1"/>
  <c r="G145" i="55" s="1"/>
  <c r="J145" i="55" s="1"/>
  <c r="G249" i="9"/>
  <c r="H249" i="9" s="1"/>
  <c r="I249" i="9" s="1"/>
  <c r="G249" i="55" s="1"/>
  <c r="J249" i="55" s="1"/>
  <c r="G120" i="9"/>
  <c r="H120" i="9" s="1"/>
  <c r="I120" i="9" s="1"/>
  <c r="G120" i="55" s="1"/>
  <c r="J120" i="55" s="1"/>
  <c r="G282" i="9"/>
  <c r="H282" i="9" s="1"/>
  <c r="I282" i="9" s="1"/>
  <c r="G282" i="55" s="1"/>
  <c r="J282" i="55" s="1"/>
  <c r="G219" i="9"/>
  <c r="H219" i="9" s="1"/>
  <c r="I219" i="9" s="1"/>
  <c r="G219" i="55" s="1"/>
  <c r="J219" i="55" s="1"/>
  <c r="G130" i="9"/>
  <c r="H130" i="9" s="1"/>
  <c r="I130" i="9" s="1"/>
  <c r="G130" i="55" s="1"/>
  <c r="J130" i="55" s="1"/>
  <c r="G184" i="9"/>
  <c r="H184" i="9" s="1"/>
  <c r="I184" i="9" s="1"/>
  <c r="G184" i="55" s="1"/>
  <c r="J184" i="55" s="1"/>
  <c r="G87" i="9"/>
  <c r="H87" i="9" s="1"/>
  <c r="I87" i="9" s="1"/>
  <c r="G87" i="55" s="1"/>
  <c r="J87" i="55" s="1"/>
  <c r="G233" i="9"/>
  <c r="H233" i="9" s="1"/>
  <c r="I233" i="9" s="1"/>
  <c r="G233" i="55" s="1"/>
  <c r="J233" i="55" s="1"/>
  <c r="G62" i="9"/>
  <c r="H62" i="9" s="1"/>
  <c r="I62" i="9" s="1"/>
  <c r="G62" i="55" s="1"/>
  <c r="J62" i="55" s="1"/>
  <c r="G148" i="9"/>
  <c r="H148" i="9" s="1"/>
  <c r="I148" i="9" s="1"/>
  <c r="G148" i="55" s="1"/>
  <c r="J148" i="55" s="1"/>
  <c r="G105" i="9"/>
  <c r="H105" i="9" s="1"/>
  <c r="I105" i="9" s="1"/>
  <c r="G105" i="55" s="1"/>
  <c r="J105" i="55" s="1"/>
  <c r="G244" i="9"/>
  <c r="H244" i="9" s="1"/>
  <c r="I244" i="9" s="1"/>
  <c r="G244" i="55" s="1"/>
  <c r="J244" i="55" s="1"/>
  <c r="G23" i="9"/>
  <c r="H23" i="9" s="1"/>
  <c r="I23" i="9" s="1"/>
  <c r="G23" i="55" s="1"/>
  <c r="J23" i="55" s="1"/>
  <c r="G123" i="9"/>
  <c r="H123" i="9" s="1"/>
  <c r="I123" i="9" s="1"/>
  <c r="G123" i="55" s="1"/>
  <c r="J123" i="55" s="1"/>
  <c r="G119" i="9"/>
  <c r="H119" i="9" s="1"/>
  <c r="I119" i="9" s="1"/>
  <c r="G119" i="55" s="1"/>
  <c r="J119" i="55" s="1"/>
  <c r="G81" i="9"/>
  <c r="H81" i="9" s="1"/>
  <c r="I81" i="9" s="1"/>
  <c r="G81" i="55" s="1"/>
  <c r="J81" i="55" s="1"/>
  <c r="G66" i="9"/>
  <c r="H66" i="9" s="1"/>
  <c r="I66" i="9" s="1"/>
  <c r="G66" i="55" s="1"/>
  <c r="J66" i="55" s="1"/>
  <c r="G8" i="9"/>
  <c r="G25" i="9"/>
  <c r="H25" i="9" s="1"/>
  <c r="I25" i="9" s="1"/>
  <c r="G25" i="55" s="1"/>
  <c r="J25" i="55" s="1"/>
  <c r="G285" i="9"/>
  <c r="H285" i="9" s="1"/>
  <c r="I285" i="9" s="1"/>
  <c r="G285" i="55" s="1"/>
  <c r="J285" i="55" s="1"/>
  <c r="G32" i="9"/>
  <c r="H32" i="9" s="1"/>
  <c r="I32" i="9" s="1"/>
  <c r="G32" i="55" s="1"/>
  <c r="J32" i="55" s="1"/>
  <c r="G28" i="9"/>
  <c r="H28" i="9" s="1"/>
  <c r="I28" i="9" s="1"/>
  <c r="G28" i="55" s="1"/>
  <c r="J28" i="55" s="1"/>
  <c r="G216" i="9"/>
  <c r="H216" i="9" s="1"/>
  <c r="I216" i="9" s="1"/>
  <c r="G216" i="55" s="1"/>
  <c r="J216" i="55" s="1"/>
  <c r="G201" i="9"/>
  <c r="H201" i="9" s="1"/>
  <c r="I201" i="9" s="1"/>
  <c r="G201" i="55" s="1"/>
  <c r="J201" i="55" s="1"/>
  <c r="G289" i="9"/>
  <c r="H289" i="9" s="1"/>
  <c r="I289" i="9" s="1"/>
  <c r="G289" i="55" s="1"/>
  <c r="J289" i="55" s="1"/>
  <c r="I250" i="9" l="1"/>
  <c r="J36" i="45"/>
  <c r="H8" i="9"/>
  <c r="I8" i="9" s="1"/>
  <c r="G302" i="9"/>
  <c r="E11" i="57"/>
  <c r="H11" i="57" s="1"/>
  <c r="J163" i="55"/>
  <c r="G8" i="55" l="1"/>
  <c r="J8" i="55" s="1"/>
  <c r="I302" i="9"/>
  <c r="I2" i="9"/>
  <c r="E10" i="57"/>
  <c r="H10" i="57" s="1"/>
  <c r="N10" i="45"/>
  <c r="G250" i="55"/>
  <c r="H302" i="9"/>
  <c r="C3" i="9" l="1"/>
  <c r="V303" i="9" s="1"/>
  <c r="G302" i="55"/>
  <c r="J250" i="55"/>
  <c r="I303" i="9" l="1"/>
  <c r="J302" i="55"/>
  <c r="N303" i="9"/>
  <c r="H22" i="59" l="1"/>
  <c r="M302" i="2"/>
  <c r="T4" i="2" s="1" a="1"/>
  <c r="T4" i="2" s="1"/>
  <c r="T263" i="2" l="1"/>
  <c r="W263" i="2" s="1"/>
  <c r="T243" i="2"/>
  <c r="W243" i="2" s="1"/>
  <c r="D243" i="3" s="1"/>
  <c r="T147" i="2"/>
  <c r="W147" i="2" s="1"/>
  <c r="D147" i="3" s="1"/>
  <c r="T264" i="2"/>
  <c r="W264" i="2" s="1"/>
  <c r="D264" i="3" s="1"/>
  <c r="T45" i="2"/>
  <c r="W45" i="2" s="1"/>
  <c r="D45" i="3" s="1"/>
  <c r="T33" i="2"/>
  <c r="W33" i="2" s="1"/>
  <c r="D33" i="3" s="1"/>
  <c r="T228" i="2"/>
  <c r="W228" i="2" s="1"/>
  <c r="D228" i="3" s="1"/>
  <c r="T244" i="2"/>
  <c r="W244" i="2" s="1"/>
  <c r="D244" i="3" s="1"/>
  <c r="T208" i="2"/>
  <c r="W208" i="2" s="1"/>
  <c r="D208" i="3" s="1"/>
  <c r="T167" i="2"/>
  <c r="W167" i="2" s="1"/>
  <c r="D167" i="3" s="1"/>
  <c r="T136" i="2"/>
  <c r="W136" i="2" s="1"/>
  <c r="D136" i="3" s="1"/>
  <c r="T61" i="2"/>
  <c r="W61" i="2" s="1"/>
  <c r="D61" i="3" s="1"/>
  <c r="T181" i="2"/>
  <c r="W181" i="2" s="1"/>
  <c r="D181" i="3" s="1"/>
  <c r="T202" i="2"/>
  <c r="W202" i="2" s="1"/>
  <c r="D202" i="3" s="1"/>
  <c r="T169" i="2"/>
  <c r="W169" i="2" s="1"/>
  <c r="D169" i="3" s="1"/>
  <c r="T188" i="2"/>
  <c r="W188" i="2" s="1"/>
  <c r="D188" i="3" s="1"/>
  <c r="T271" i="2"/>
  <c r="W271" i="2" s="1"/>
  <c r="D271" i="3" s="1"/>
  <c r="T23" i="2"/>
  <c r="W23" i="2" s="1"/>
  <c r="D23" i="3" s="1"/>
  <c r="T211" i="2"/>
  <c r="W211" i="2" s="1"/>
  <c r="D211" i="3" s="1"/>
  <c r="T44" i="2"/>
  <c r="W44" i="2" s="1"/>
  <c r="D44" i="3" s="1"/>
  <c r="T66" i="2"/>
  <c r="W66" i="2" s="1"/>
  <c r="D66" i="3" s="1"/>
  <c r="T148" i="2"/>
  <c r="W148" i="2" s="1"/>
  <c r="D148" i="3" s="1"/>
  <c r="T36" i="2"/>
  <c r="W36" i="2" s="1"/>
  <c r="D36" i="3" s="1"/>
  <c r="T123" i="2"/>
  <c r="W123" i="2" s="1"/>
  <c r="D123" i="3" s="1"/>
  <c r="T47" i="2"/>
  <c r="W47" i="2" s="1"/>
  <c r="D47" i="3" s="1"/>
  <c r="T279" i="2"/>
  <c r="W279" i="2" s="1"/>
  <c r="D279" i="3" s="1"/>
  <c r="T19" i="2"/>
  <c r="W19" i="2" s="1"/>
  <c r="D19" i="3" s="1"/>
  <c r="T77" i="2"/>
  <c r="W77" i="2" s="1"/>
  <c r="D77" i="3" s="1"/>
  <c r="T93" i="2"/>
  <c r="W93" i="2" s="1"/>
  <c r="D93" i="3" s="1"/>
  <c r="T237" i="2"/>
  <c r="W237" i="2" s="1"/>
  <c r="D237" i="3" s="1"/>
  <c r="T164" i="2"/>
  <c r="W164" i="2" s="1"/>
  <c r="D164" i="3" s="1"/>
  <c r="T10" i="2"/>
  <c r="W10" i="2" s="1"/>
  <c r="D10" i="3" s="1"/>
  <c r="T207" i="2"/>
  <c r="W207" i="2" s="1"/>
  <c r="D207" i="3" s="1"/>
  <c r="T35" i="2"/>
  <c r="W35" i="2" s="1"/>
  <c r="D35" i="3" s="1"/>
  <c r="T139" i="2"/>
  <c r="W139" i="2" s="1"/>
  <c r="D139" i="3" s="1"/>
  <c r="T89" i="2"/>
  <c r="W89" i="2" s="1"/>
  <c r="D89" i="3" s="1"/>
  <c r="T21" i="2"/>
  <c r="W21" i="2" s="1"/>
  <c r="D21" i="3" s="1"/>
  <c r="T186" i="2"/>
  <c r="W186" i="2" s="1"/>
  <c r="D186" i="3" s="1"/>
  <c r="T145" i="2"/>
  <c r="W145" i="2" s="1"/>
  <c r="D145" i="3" s="1"/>
  <c r="T26" i="2"/>
  <c r="W26" i="2" s="1"/>
  <c r="D26" i="3" s="1"/>
  <c r="T258" i="2"/>
  <c r="W258" i="2" s="1"/>
  <c r="D258" i="3" s="1"/>
  <c r="T200" i="2"/>
  <c r="W200" i="2" s="1"/>
  <c r="D200" i="3" s="1"/>
  <c r="T59" i="2"/>
  <c r="W59" i="2" s="1"/>
  <c r="D59" i="3" s="1"/>
  <c r="T273" i="2"/>
  <c r="W273" i="2" s="1"/>
  <c r="D273" i="3" s="1"/>
  <c r="T110" i="2"/>
  <c r="W110" i="2" s="1"/>
  <c r="D110" i="3" s="1"/>
  <c r="T48" i="2"/>
  <c r="W48" i="2" s="1"/>
  <c r="D48" i="3" s="1"/>
  <c r="T119" i="2"/>
  <c r="W119" i="2" s="1"/>
  <c r="D119" i="3" s="1"/>
  <c r="T163" i="2"/>
  <c r="W163" i="2" s="1"/>
  <c r="D163" i="3" s="1"/>
  <c r="T34" i="2"/>
  <c r="W34" i="2" s="1"/>
  <c r="D34" i="3" s="1"/>
  <c r="T112" i="2"/>
  <c r="W112" i="2" s="1"/>
  <c r="D112" i="3" s="1"/>
  <c r="T127" i="2"/>
  <c r="W127" i="2" s="1"/>
  <c r="D127" i="3" s="1"/>
  <c r="T57" i="2"/>
  <c r="W57" i="2" s="1"/>
  <c r="D57" i="3" s="1"/>
  <c r="T241" i="2"/>
  <c r="W241" i="2" s="1"/>
  <c r="D241" i="3" s="1"/>
  <c r="T254" i="2"/>
  <c r="W254" i="2" s="1"/>
  <c r="D254" i="3" s="1"/>
  <c r="T31" i="2"/>
  <c r="W31" i="2" s="1"/>
  <c r="D31" i="3" s="1"/>
  <c r="T242" i="2"/>
  <c r="W242" i="2" s="1"/>
  <c r="D242" i="3" s="1"/>
  <c r="T116" i="2"/>
  <c r="W116" i="2" s="1"/>
  <c r="D116" i="3" s="1"/>
  <c r="T109" i="2"/>
  <c r="W109" i="2" s="1"/>
  <c r="D109" i="3" s="1"/>
  <c r="T296" i="2"/>
  <c r="W296" i="2" s="1"/>
  <c r="D296" i="3" s="1"/>
  <c r="T172" i="2"/>
  <c r="W172" i="2" s="1"/>
  <c r="D172" i="3" s="1"/>
  <c r="T13" i="2"/>
  <c r="W13" i="2" s="1"/>
  <c r="D13" i="3" s="1"/>
  <c r="T9" i="2"/>
  <c r="W9" i="2" s="1"/>
  <c r="D9" i="3" s="1"/>
  <c r="T141" i="2"/>
  <c r="W141" i="2" s="1"/>
  <c r="D141" i="3" s="1"/>
  <c r="T247" i="2"/>
  <c r="W247" i="2" s="1"/>
  <c r="D247" i="3" s="1"/>
  <c r="T183" i="2"/>
  <c r="W183" i="2" s="1"/>
  <c r="D183" i="3" s="1"/>
  <c r="T292" i="2"/>
  <c r="W292" i="2" s="1"/>
  <c r="D292" i="3" s="1"/>
  <c r="T251" i="2"/>
  <c r="W251" i="2" s="1"/>
  <c r="D251" i="3" s="1"/>
  <c r="T107" i="2"/>
  <c r="W107" i="2" s="1"/>
  <c r="D107" i="3" s="1"/>
  <c r="T229" i="2"/>
  <c r="W229" i="2" s="1"/>
  <c r="D229" i="3" s="1"/>
  <c r="T155" i="2"/>
  <c r="W155" i="2" s="1"/>
  <c r="D155" i="3" s="1"/>
  <c r="T140" i="2"/>
  <c r="W140" i="2" s="1"/>
  <c r="D140" i="3" s="1"/>
  <c r="T111" i="2"/>
  <c r="W111" i="2" s="1"/>
  <c r="D111" i="3" s="1"/>
  <c r="T166" i="2"/>
  <c r="W166" i="2" s="1"/>
  <c r="D166" i="3" s="1"/>
  <c r="T210" i="2"/>
  <c r="W210" i="2" s="1"/>
  <c r="D210" i="3" s="1"/>
  <c r="T24" i="2"/>
  <c r="W24" i="2" s="1"/>
  <c r="D24" i="3" s="1"/>
  <c r="T143" i="2"/>
  <c r="W143" i="2" s="1"/>
  <c r="D143" i="3" s="1"/>
  <c r="T195" i="2"/>
  <c r="W195" i="2" s="1"/>
  <c r="D195" i="3" s="1"/>
  <c r="T86" i="2"/>
  <c r="W86" i="2" s="1"/>
  <c r="D86" i="3" s="1"/>
  <c r="T60" i="2"/>
  <c r="W60" i="2" s="1"/>
  <c r="D60" i="3" s="1"/>
  <c r="T159" i="2"/>
  <c r="W159" i="2" s="1"/>
  <c r="D159" i="3" s="1"/>
  <c r="T190" i="2"/>
  <c r="W190" i="2" s="1"/>
  <c r="D190" i="3" s="1"/>
  <c r="T157" i="2"/>
  <c r="W157" i="2" s="1"/>
  <c r="D157" i="3" s="1"/>
  <c r="T177" i="2"/>
  <c r="W177" i="2" s="1"/>
  <c r="D177" i="3" s="1"/>
  <c r="T12" i="2"/>
  <c r="W12" i="2" s="1"/>
  <c r="D12" i="3" s="1"/>
  <c r="T96" i="2"/>
  <c r="W96" i="2" s="1"/>
  <c r="D96" i="3" s="1"/>
  <c r="T43" i="2"/>
  <c r="W43" i="2" s="1"/>
  <c r="D43" i="3" s="1"/>
  <c r="T282" i="2"/>
  <c r="W282" i="2" s="1"/>
  <c r="D282" i="3" s="1"/>
  <c r="T192" i="2"/>
  <c r="W192" i="2" s="1"/>
  <c r="D192" i="3" s="1"/>
  <c r="T76" i="2"/>
  <c r="W76" i="2" s="1"/>
  <c r="D76" i="3" s="1"/>
  <c r="T218" i="2"/>
  <c r="W218" i="2" s="1"/>
  <c r="D218" i="3" s="1"/>
  <c r="T216" i="2"/>
  <c r="W216" i="2" s="1"/>
  <c r="D216" i="3" s="1"/>
  <c r="T174" i="2"/>
  <c r="W174" i="2" s="1"/>
  <c r="D174" i="3" s="1"/>
  <c r="T299" i="2"/>
  <c r="W299" i="2" s="1"/>
  <c r="D299" i="3" s="1"/>
  <c r="T80" i="2"/>
  <c r="W80" i="2" s="1"/>
  <c r="D80" i="3" s="1"/>
  <c r="T298" i="2"/>
  <c r="W298" i="2" s="1"/>
  <c r="D298" i="3" s="1"/>
  <c r="T38" i="2"/>
  <c r="W38" i="2" s="1"/>
  <c r="D38" i="3" s="1"/>
  <c r="T62" i="2"/>
  <c r="W62" i="2" s="1"/>
  <c r="D62" i="3" s="1"/>
  <c r="T129" i="2"/>
  <c r="W129" i="2" s="1"/>
  <c r="D129" i="3" s="1"/>
  <c r="T267" i="2"/>
  <c r="W267" i="2" s="1"/>
  <c r="D267" i="3" s="1"/>
  <c r="T91" i="2"/>
  <c r="W91" i="2" s="1"/>
  <c r="D91" i="3" s="1"/>
  <c r="T223" i="2"/>
  <c r="W223" i="2" s="1"/>
  <c r="D223" i="3" s="1"/>
  <c r="T197" i="2"/>
  <c r="W197" i="2" s="1"/>
  <c r="D197" i="3" s="1"/>
  <c r="T72" i="2"/>
  <c r="W72" i="2" s="1"/>
  <c r="D72" i="3" s="1"/>
  <c r="T87" i="2"/>
  <c r="W87" i="2" s="1"/>
  <c r="D87" i="3" s="1"/>
  <c r="T54" i="2"/>
  <c r="W54" i="2" s="1"/>
  <c r="D54" i="3" s="1"/>
  <c r="T15" i="2"/>
  <c r="W15" i="2" s="1"/>
  <c r="D15" i="3" s="1"/>
  <c r="T49" i="2"/>
  <c r="W49" i="2" s="1"/>
  <c r="D49" i="3" s="1"/>
  <c r="T92" i="2"/>
  <c r="W92" i="2" s="1"/>
  <c r="D92" i="3" s="1"/>
  <c r="T198" i="2"/>
  <c r="W198" i="2" s="1"/>
  <c r="D198" i="3" s="1"/>
  <c r="T65" i="2"/>
  <c r="W65" i="2" s="1"/>
  <c r="D65" i="3" s="1"/>
  <c r="T81" i="2"/>
  <c r="W81" i="2" s="1"/>
  <c r="D81" i="3" s="1"/>
  <c r="T232" i="2"/>
  <c r="W232" i="2" s="1"/>
  <c r="D232" i="3" s="1"/>
  <c r="T17" i="2"/>
  <c r="W17" i="2" s="1"/>
  <c r="D17" i="3" s="1"/>
  <c r="T103" i="2"/>
  <c r="W103" i="2" s="1"/>
  <c r="D103" i="3" s="1"/>
  <c r="T125" i="2"/>
  <c r="W125" i="2" s="1"/>
  <c r="D125" i="3" s="1"/>
  <c r="T69" i="2"/>
  <c r="W69" i="2" s="1"/>
  <c r="D69" i="3" s="1"/>
  <c r="T287" i="2"/>
  <c r="W287" i="2" s="1"/>
  <c r="D287" i="3" s="1"/>
  <c r="T275" i="2"/>
  <c r="W275" i="2" s="1"/>
  <c r="D275" i="3" s="1"/>
  <c r="T294" i="2"/>
  <c r="W294" i="2" s="1"/>
  <c r="D294" i="3" s="1"/>
  <c r="T300" i="2"/>
  <c r="W300" i="2" s="1"/>
  <c r="D300" i="3" s="1"/>
  <c r="T29" i="2"/>
  <c r="W29" i="2" s="1"/>
  <c r="D29" i="3" s="1"/>
  <c r="T189" i="2"/>
  <c r="W189" i="2" s="1"/>
  <c r="D189" i="3" s="1"/>
  <c r="T239" i="2"/>
  <c r="W239" i="2" s="1"/>
  <c r="D239" i="3" s="1"/>
  <c r="T128" i="2"/>
  <c r="W128" i="2" s="1"/>
  <c r="D128" i="3" s="1"/>
  <c r="T240" i="2"/>
  <c r="W240" i="2" s="1"/>
  <c r="D240" i="3" s="1"/>
  <c r="T146" i="2"/>
  <c r="W146" i="2" s="1"/>
  <c r="D146" i="3" s="1"/>
  <c r="T25" i="2"/>
  <c r="W25" i="2" s="1"/>
  <c r="D25" i="3" s="1"/>
  <c r="T126" i="2"/>
  <c r="W126" i="2" s="1"/>
  <c r="D126" i="3" s="1"/>
  <c r="T105" i="2"/>
  <c r="W105" i="2" s="1"/>
  <c r="D105" i="3" s="1"/>
  <c r="T290" i="2"/>
  <c r="W290" i="2" s="1"/>
  <c r="D290" i="3" s="1"/>
  <c r="T171" i="2"/>
  <c r="W171" i="2" s="1"/>
  <c r="D171" i="3" s="1"/>
  <c r="T180" i="2"/>
  <c r="W180" i="2" s="1"/>
  <c r="D180" i="3" s="1"/>
  <c r="T221" i="2"/>
  <c r="W221" i="2" s="1"/>
  <c r="D221" i="3" s="1"/>
  <c r="T144" i="2"/>
  <c r="W144" i="2" s="1"/>
  <c r="D144" i="3" s="1"/>
  <c r="T121" i="2"/>
  <c r="W121" i="2" s="1"/>
  <c r="D121" i="3" s="1"/>
  <c r="T270" i="2"/>
  <c r="W270" i="2" s="1"/>
  <c r="D270" i="3" s="1"/>
  <c r="T158" i="2"/>
  <c r="W158" i="2" s="1"/>
  <c r="D158" i="3" s="1"/>
  <c r="T18" i="2"/>
  <c r="W18" i="2" s="1"/>
  <c r="D18" i="3" s="1"/>
  <c r="T160" i="2"/>
  <c r="W160" i="2" s="1"/>
  <c r="D160" i="3" s="1"/>
  <c r="T16" i="2"/>
  <c r="W16" i="2" s="1"/>
  <c r="D16" i="3" s="1"/>
  <c r="T53" i="2"/>
  <c r="W53" i="2" s="1"/>
  <c r="D53" i="3" s="1"/>
  <c r="T90" i="2"/>
  <c r="W90" i="2" s="1"/>
  <c r="D90" i="3" s="1"/>
  <c r="T289" i="2"/>
  <c r="W289" i="2" s="1"/>
  <c r="D289" i="3" s="1"/>
  <c r="T173" i="2"/>
  <c r="W173" i="2" s="1"/>
  <c r="D173" i="3" s="1"/>
  <c r="T122" i="2"/>
  <c r="W122" i="2" s="1"/>
  <c r="D122" i="3" s="1"/>
  <c r="T268" i="2"/>
  <c r="W268" i="2" s="1"/>
  <c r="D268" i="3" s="1"/>
  <c r="T117" i="2"/>
  <c r="W117" i="2" s="1"/>
  <c r="D117" i="3" s="1"/>
  <c r="T274" i="2"/>
  <c r="W274" i="2" s="1"/>
  <c r="D274" i="3" s="1"/>
  <c r="T114" i="2"/>
  <c r="W114" i="2" s="1"/>
  <c r="D114" i="3" s="1"/>
  <c r="T32" i="2"/>
  <c r="W32" i="2" s="1"/>
  <c r="D32" i="3" s="1"/>
  <c r="T156" i="2"/>
  <c r="W156" i="2" s="1"/>
  <c r="D156" i="3" s="1"/>
  <c r="T187" i="2"/>
  <c r="W187" i="2" s="1"/>
  <c r="D187" i="3" s="1"/>
  <c r="T217" i="2"/>
  <c r="W217" i="2" s="1"/>
  <c r="D217" i="3" s="1"/>
  <c r="T162" i="2"/>
  <c r="W162" i="2" s="1"/>
  <c r="D162" i="3" s="1"/>
  <c r="T170" i="2"/>
  <c r="W170" i="2" s="1"/>
  <c r="D170" i="3" s="1"/>
  <c r="T153" i="2"/>
  <c r="W153" i="2" s="1"/>
  <c r="D153" i="3" s="1"/>
  <c r="T226" i="2"/>
  <c r="W226" i="2" s="1"/>
  <c r="D226" i="3" s="1"/>
  <c r="T63" i="2"/>
  <c r="W63" i="2" s="1"/>
  <c r="D63" i="3" s="1"/>
  <c r="T179" i="2"/>
  <c r="W179" i="2" s="1"/>
  <c r="D179" i="3" s="1"/>
  <c r="T193" i="2"/>
  <c r="W193" i="2" s="1"/>
  <c r="D193" i="3" s="1"/>
  <c r="T130" i="2"/>
  <c r="W130" i="2" s="1"/>
  <c r="D130" i="3" s="1"/>
  <c r="T71" i="2"/>
  <c r="W71" i="2" s="1"/>
  <c r="D71" i="3" s="1"/>
  <c r="T286" i="2"/>
  <c r="W286" i="2" s="1"/>
  <c r="D286" i="3" s="1"/>
  <c r="T285" i="2"/>
  <c r="W285" i="2" s="1"/>
  <c r="D285" i="3" s="1"/>
  <c r="T224" i="2"/>
  <c r="W224" i="2" s="1"/>
  <c r="D224" i="3" s="1"/>
  <c r="T50" i="2"/>
  <c r="W50" i="2" s="1"/>
  <c r="D50" i="3" s="1"/>
  <c r="T255" i="2"/>
  <c r="W255" i="2" s="1"/>
  <c r="D255" i="3" s="1"/>
  <c r="T68" i="2"/>
  <c r="W68" i="2" s="1"/>
  <c r="D68" i="3" s="1"/>
  <c r="T235" i="2"/>
  <c r="W235" i="2" s="1"/>
  <c r="D235" i="3" s="1"/>
  <c r="T176" i="2"/>
  <c r="W176" i="2" s="1"/>
  <c r="D176" i="3" s="1"/>
  <c r="T82" i="2"/>
  <c r="W82" i="2" s="1"/>
  <c r="D82" i="3" s="1"/>
  <c r="T58" i="2"/>
  <c r="W58" i="2" s="1"/>
  <c r="D58" i="3" s="1"/>
  <c r="T104" i="2"/>
  <c r="W104" i="2" s="1"/>
  <c r="D104" i="3" s="1"/>
  <c r="T20" i="2"/>
  <c r="W20" i="2" s="1"/>
  <c r="D20" i="3" s="1"/>
  <c r="T118" i="2"/>
  <c r="W118" i="2" s="1"/>
  <c r="D118" i="3" s="1"/>
  <c r="T11" i="2"/>
  <c r="W11" i="2" s="1"/>
  <c r="D11" i="3" s="1"/>
  <c r="T206" i="2"/>
  <c r="W206" i="2" s="1"/>
  <c r="D206" i="3" s="1"/>
  <c r="T95" i="2"/>
  <c r="W95" i="2" s="1"/>
  <c r="D95" i="3" s="1"/>
  <c r="T137" i="2"/>
  <c r="W137" i="2" s="1"/>
  <c r="D137" i="3" s="1"/>
  <c r="T230" i="2"/>
  <c r="W230" i="2" s="1"/>
  <c r="D230" i="3" s="1"/>
  <c r="T124" i="2"/>
  <c r="W124" i="2" s="1"/>
  <c r="D124" i="3" s="1"/>
  <c r="T78" i="2"/>
  <c r="W78" i="2" s="1"/>
  <c r="D78" i="3" s="1"/>
  <c r="T220" i="2"/>
  <c r="W220" i="2" s="1"/>
  <c r="D220" i="3" s="1"/>
  <c r="T149" i="2"/>
  <c r="W149" i="2" s="1"/>
  <c r="D149" i="3" s="1"/>
  <c r="T79" i="2"/>
  <c r="W79" i="2" s="1"/>
  <c r="D79" i="3" s="1"/>
  <c r="T37" i="2"/>
  <c r="W37" i="2" s="1"/>
  <c r="D37" i="3" s="1"/>
  <c r="T51" i="2"/>
  <c r="W51" i="2" s="1"/>
  <c r="D51" i="3" s="1"/>
  <c r="T284" i="2"/>
  <c r="W284" i="2" s="1"/>
  <c r="D284" i="3" s="1"/>
  <c r="T246" i="2"/>
  <c r="W246" i="2" s="1"/>
  <c r="D246" i="3" s="1"/>
  <c r="T74" i="2"/>
  <c r="W74" i="2" s="1"/>
  <c r="D74" i="3" s="1"/>
  <c r="T8" i="2"/>
  <c r="T219" i="2"/>
  <c r="W219" i="2" s="1"/>
  <c r="D219" i="3" s="1"/>
  <c r="T64" i="2"/>
  <c r="W64" i="2" s="1"/>
  <c r="D64" i="3" s="1"/>
  <c r="T40" i="2"/>
  <c r="W40" i="2" s="1"/>
  <c r="D40" i="3" s="1"/>
  <c r="T73" i="2"/>
  <c r="W73" i="2" s="1"/>
  <c r="D73" i="3" s="1"/>
  <c r="T249" i="2"/>
  <c r="W249" i="2" s="1"/>
  <c r="D249" i="3" s="1"/>
  <c r="T234" i="2"/>
  <c r="W234" i="2" s="1"/>
  <c r="D234" i="3" s="1"/>
  <c r="T252" i="2"/>
  <c r="W252" i="2" s="1"/>
  <c r="D252" i="3" s="1"/>
  <c r="T199" i="2"/>
  <c r="W199" i="2" s="1"/>
  <c r="D199" i="3" s="1"/>
  <c r="T277" i="2"/>
  <c r="W277" i="2" s="1"/>
  <c r="D277" i="3" s="1"/>
  <c r="T214" i="2"/>
  <c r="W214" i="2" s="1"/>
  <c r="D214" i="3" s="1"/>
  <c r="T185" i="2"/>
  <c r="W185" i="2" s="1"/>
  <c r="D185" i="3" s="1"/>
  <c r="T259" i="2"/>
  <c r="W259" i="2" s="1"/>
  <c r="D259" i="3" s="1"/>
  <c r="T14" i="2"/>
  <c r="W14" i="2" s="1"/>
  <c r="D14" i="3" s="1"/>
  <c r="T257" i="2"/>
  <c r="W257" i="2" s="1"/>
  <c r="D257" i="3" s="1"/>
  <c r="T99" i="2"/>
  <c r="W99" i="2" s="1"/>
  <c r="D99" i="3" s="1"/>
  <c r="T100" i="2"/>
  <c r="W100" i="2" s="1"/>
  <c r="D100" i="3" s="1"/>
  <c r="T52" i="2"/>
  <c r="W52" i="2" s="1"/>
  <c r="D52" i="3" s="1"/>
  <c r="T295" i="2"/>
  <c r="W295" i="2" s="1"/>
  <c r="D295" i="3" s="1"/>
  <c r="T168" i="2"/>
  <c r="W168" i="2" s="1"/>
  <c r="D168" i="3" s="1"/>
  <c r="T196" i="2"/>
  <c r="W196" i="2" s="1"/>
  <c r="D196" i="3" s="1"/>
  <c r="T276" i="2"/>
  <c r="W276" i="2" s="1"/>
  <c r="D276" i="3" s="1"/>
  <c r="T161" i="2"/>
  <c r="W161" i="2" s="1"/>
  <c r="D161" i="3" s="1"/>
  <c r="T248" i="2"/>
  <c r="W248" i="2" s="1"/>
  <c r="D248" i="3" s="1"/>
  <c r="T22" i="2"/>
  <c r="W22" i="2" s="1"/>
  <c r="D22" i="3" s="1"/>
  <c r="T175" i="2"/>
  <c r="W175" i="2" s="1"/>
  <c r="D175" i="3" s="1"/>
  <c r="T227" i="2"/>
  <c r="W227" i="2" s="1"/>
  <c r="D227" i="3" s="1"/>
  <c r="T250" i="2"/>
  <c r="W250" i="2" s="1"/>
  <c r="D250" i="3" s="1"/>
  <c r="T260" i="2"/>
  <c r="W260" i="2" s="1"/>
  <c r="D260" i="3" s="1"/>
  <c r="T236" i="2"/>
  <c r="W236" i="2" s="1"/>
  <c r="D236" i="3" s="1"/>
  <c r="T46" i="2"/>
  <c r="W46" i="2" s="1"/>
  <c r="D46" i="3" s="1"/>
  <c r="T67" i="2"/>
  <c r="W67" i="2" s="1"/>
  <c r="D67" i="3" s="1"/>
  <c r="T182" i="2"/>
  <c r="W182" i="2" s="1"/>
  <c r="D182" i="3" s="1"/>
  <c r="T83" i="2"/>
  <c r="W83" i="2" s="1"/>
  <c r="D83" i="3" s="1"/>
  <c r="T134" i="2"/>
  <c r="W134" i="2" s="1"/>
  <c r="D134" i="3" s="1"/>
  <c r="T213" i="2"/>
  <c r="W213" i="2" s="1"/>
  <c r="D213" i="3" s="1"/>
  <c r="T88" i="2"/>
  <c r="W88" i="2" s="1"/>
  <c r="D88" i="3" s="1"/>
  <c r="T262" i="2"/>
  <c r="W262" i="2" s="1"/>
  <c r="D262" i="3" s="1"/>
  <c r="T261" i="2"/>
  <c r="W261" i="2" s="1"/>
  <c r="D261" i="3" s="1"/>
  <c r="T204" i="2"/>
  <c r="W204" i="2" s="1"/>
  <c r="D204" i="3" s="1"/>
  <c r="T165" i="2"/>
  <c r="W165" i="2" s="1"/>
  <c r="D165" i="3" s="1"/>
  <c r="T297" i="2"/>
  <c r="W297" i="2" s="1"/>
  <c r="D297" i="3" s="1"/>
  <c r="T203" i="2"/>
  <c r="W203" i="2" s="1"/>
  <c r="D203" i="3" s="1"/>
  <c r="T132" i="2"/>
  <c r="W132" i="2" s="1"/>
  <c r="D132" i="3" s="1"/>
  <c r="T108" i="2"/>
  <c r="W108" i="2" s="1"/>
  <c r="D108" i="3" s="1"/>
  <c r="T102" i="2"/>
  <c r="W102" i="2" s="1"/>
  <c r="D102" i="3" s="1"/>
  <c r="T106" i="2"/>
  <c r="W106" i="2" s="1"/>
  <c r="D106" i="3" s="1"/>
  <c r="T28" i="2"/>
  <c r="W28" i="2" s="1"/>
  <c r="D28" i="3" s="1"/>
  <c r="T225" i="2"/>
  <c r="W225" i="2" s="1"/>
  <c r="D225" i="3" s="1"/>
  <c r="T201" i="2"/>
  <c r="W201" i="2" s="1"/>
  <c r="D201" i="3" s="1"/>
  <c r="T101" i="2"/>
  <c r="W101" i="2" s="1"/>
  <c r="D101" i="3" s="1"/>
  <c r="T184" i="2"/>
  <c r="W184" i="2" s="1"/>
  <c r="D184" i="3" s="1"/>
  <c r="T291" i="2"/>
  <c r="W291" i="2" s="1"/>
  <c r="D291" i="3" s="1"/>
  <c r="T280" i="2"/>
  <c r="W280" i="2" s="1"/>
  <c r="D280" i="3" s="1"/>
  <c r="T231" i="2"/>
  <c r="W231" i="2" s="1"/>
  <c r="D231" i="3" s="1"/>
  <c r="T301" i="2"/>
  <c r="W301" i="2" s="1"/>
  <c r="D301" i="3" s="1"/>
  <c r="T215" i="2"/>
  <c r="W215" i="2" s="1"/>
  <c r="D215" i="3" s="1"/>
  <c r="T27" i="2"/>
  <c r="W27" i="2" s="1"/>
  <c r="D27" i="3" s="1"/>
  <c r="T238" i="2"/>
  <c r="W238" i="2" s="1"/>
  <c r="D238" i="3" s="1"/>
  <c r="T55" i="2"/>
  <c r="W55" i="2" s="1"/>
  <c r="D55" i="3" s="1"/>
  <c r="T56" i="2"/>
  <c r="W56" i="2" s="1"/>
  <c r="D56" i="3" s="1"/>
  <c r="T194" i="2"/>
  <c r="W194" i="2" s="1"/>
  <c r="D194" i="3" s="1"/>
  <c r="T233" i="2"/>
  <c r="W233" i="2" s="1"/>
  <c r="D233" i="3" s="1"/>
  <c r="T94" i="2"/>
  <c r="W94" i="2" s="1"/>
  <c r="D94" i="3" s="1"/>
  <c r="T278" i="2"/>
  <c r="W278" i="2" s="1"/>
  <c r="D278" i="3" s="1"/>
  <c r="T265" i="2"/>
  <c r="W265" i="2" s="1"/>
  <c r="D265" i="3" s="1"/>
  <c r="T293" i="2"/>
  <c r="W293" i="2" s="1"/>
  <c r="D293" i="3" s="1"/>
  <c r="T205" i="2"/>
  <c r="W205" i="2" s="1"/>
  <c r="D205" i="3" s="1"/>
  <c r="T253" i="2"/>
  <c r="W253" i="2" s="1"/>
  <c r="D253" i="3" s="1"/>
  <c r="T212" i="2"/>
  <c r="W212" i="2" s="1"/>
  <c r="D212" i="3" s="1"/>
  <c r="T142" i="2"/>
  <c r="W142" i="2" s="1"/>
  <c r="D142" i="3" s="1"/>
  <c r="T288" i="2"/>
  <c r="W288" i="2" s="1"/>
  <c r="D288" i="3" s="1"/>
  <c r="T113" i="2"/>
  <c r="W113" i="2" s="1"/>
  <c r="D113" i="3" s="1"/>
  <c r="T85" i="2"/>
  <c r="W85" i="2" s="1"/>
  <c r="D85" i="3" s="1"/>
  <c r="T269" i="2"/>
  <c r="W269" i="2" s="1"/>
  <c r="D269" i="3" s="1"/>
  <c r="T209" i="2"/>
  <c r="W209" i="2" s="1"/>
  <c r="D209" i="3" s="1"/>
  <c r="T98" i="2"/>
  <c r="W98" i="2" s="1"/>
  <c r="D98" i="3" s="1"/>
  <c r="T256" i="2"/>
  <c r="W256" i="2" s="1"/>
  <c r="D256" i="3" s="1"/>
  <c r="T135" i="2"/>
  <c r="W135" i="2" s="1"/>
  <c r="D135" i="3" s="1"/>
  <c r="T97" i="2"/>
  <c r="W97" i="2" s="1"/>
  <c r="D97" i="3" s="1"/>
  <c r="T42" i="2"/>
  <c r="W42" i="2" s="1"/>
  <c r="D42" i="3" s="1"/>
  <c r="T84" i="2"/>
  <c r="W84" i="2" s="1"/>
  <c r="D84" i="3" s="1"/>
  <c r="T154" i="2"/>
  <c r="W154" i="2" s="1"/>
  <c r="D154" i="3" s="1"/>
  <c r="T266" i="2"/>
  <c r="W266" i="2" s="1"/>
  <c r="D266" i="3" s="1"/>
  <c r="T115" i="2"/>
  <c r="W115" i="2" s="1"/>
  <c r="D115" i="3" s="1"/>
  <c r="T138" i="2"/>
  <c r="W138" i="2" s="1"/>
  <c r="D138" i="3" s="1"/>
  <c r="T120" i="2"/>
  <c r="W120" i="2" s="1"/>
  <c r="D120" i="3" s="1"/>
  <c r="T281" i="2"/>
  <c r="W281" i="2" s="1"/>
  <c r="D281" i="3" s="1"/>
  <c r="T70" i="2"/>
  <c r="W70" i="2" s="1"/>
  <c r="D70" i="3" s="1"/>
  <c r="T150" i="2"/>
  <c r="W150" i="2" s="1"/>
  <c r="D150" i="3" s="1"/>
  <c r="H18" i="59"/>
  <c r="T151" i="2"/>
  <c r="W151" i="2" s="1"/>
  <c r="D151" i="3" s="1"/>
  <c r="T41" i="2"/>
  <c r="W41" i="2" s="1"/>
  <c r="D41" i="3" s="1"/>
  <c r="T191" i="2"/>
  <c r="W191" i="2" s="1"/>
  <c r="D191" i="3" s="1"/>
  <c r="T30" i="2"/>
  <c r="W30" i="2" s="1"/>
  <c r="D30" i="3" s="1"/>
  <c r="T39" i="2"/>
  <c r="W39" i="2" s="1"/>
  <c r="D39" i="3" s="1"/>
  <c r="T272" i="2"/>
  <c r="W272" i="2" s="1"/>
  <c r="D272" i="3" s="1"/>
  <c r="T222" i="2"/>
  <c r="W222" i="2" s="1"/>
  <c r="D222" i="3" s="1"/>
  <c r="T131" i="2"/>
  <c r="W131" i="2" s="1"/>
  <c r="D131" i="3" s="1"/>
  <c r="T283" i="2"/>
  <c r="W283" i="2" s="1"/>
  <c r="D283" i="3" s="1"/>
  <c r="T245" i="2"/>
  <c r="W245" i="2" s="1"/>
  <c r="D245" i="3" s="1"/>
  <c r="T152" i="2"/>
  <c r="W152" i="2" s="1"/>
  <c r="D152" i="3" s="1"/>
  <c r="T133" i="2"/>
  <c r="W133" i="2" s="1"/>
  <c r="D133" i="3" s="1"/>
  <c r="T75" i="2"/>
  <c r="W75" i="2" s="1"/>
  <c r="D75" i="3" s="1"/>
  <c r="T178" i="2"/>
  <c r="W178" i="2" s="1"/>
  <c r="D178" i="3" s="1"/>
  <c r="X263" i="2" l="1"/>
  <c r="D263" i="3"/>
  <c r="F263" i="3" s="1"/>
  <c r="X94" i="2"/>
  <c r="X252" i="2"/>
  <c r="X90" i="2"/>
  <c r="X60" i="2"/>
  <c r="X152" i="2"/>
  <c r="X191" i="2"/>
  <c r="X120" i="2"/>
  <c r="X135" i="2"/>
  <c r="X142" i="2"/>
  <c r="X233" i="2"/>
  <c r="X231" i="2"/>
  <c r="X106" i="2"/>
  <c r="X261" i="2"/>
  <c r="X46" i="2"/>
  <c r="X161" i="2"/>
  <c r="X257" i="2"/>
  <c r="X234" i="2"/>
  <c r="X246" i="2"/>
  <c r="X124" i="2"/>
  <c r="X104" i="2"/>
  <c r="X224" i="2"/>
  <c r="X226" i="2"/>
  <c r="X114" i="2"/>
  <c r="X53" i="2"/>
  <c r="X221" i="2"/>
  <c r="X240" i="2"/>
  <c r="X287" i="2"/>
  <c r="X198" i="2"/>
  <c r="X223" i="2"/>
  <c r="X43" i="2"/>
  <c r="X86" i="2"/>
  <c r="X155" i="2"/>
  <c r="X9" i="2"/>
  <c r="X254" i="2"/>
  <c r="X48" i="2"/>
  <c r="X186" i="2"/>
  <c r="X237" i="2"/>
  <c r="X36" i="2"/>
  <c r="X169" i="2"/>
  <c r="X244" i="2"/>
  <c r="X288" i="2"/>
  <c r="X99" i="2"/>
  <c r="X63" i="2"/>
  <c r="X197" i="2"/>
  <c r="X188" i="2"/>
  <c r="X212" i="2"/>
  <c r="X280" i="2"/>
  <c r="X102" i="2"/>
  <c r="X262" i="2"/>
  <c r="X236" i="2"/>
  <c r="X276" i="2"/>
  <c r="X14" i="2"/>
  <c r="X249" i="2"/>
  <c r="X284" i="2"/>
  <c r="X230" i="2"/>
  <c r="X58" i="2"/>
  <c r="X285" i="2"/>
  <c r="X153" i="2"/>
  <c r="X274" i="2"/>
  <c r="X16" i="2"/>
  <c r="X180" i="2"/>
  <c r="X128" i="2"/>
  <c r="X69" i="2"/>
  <c r="X92" i="2"/>
  <c r="X91" i="2"/>
  <c r="X299" i="2"/>
  <c r="X96" i="2"/>
  <c r="X195" i="2"/>
  <c r="X229" i="2"/>
  <c r="X13" i="2"/>
  <c r="X241" i="2"/>
  <c r="X110" i="2"/>
  <c r="X21" i="2"/>
  <c r="X93" i="2"/>
  <c r="X148" i="2"/>
  <c r="X202" i="2"/>
  <c r="X228" i="2"/>
  <c r="X97" i="2"/>
  <c r="X248" i="2"/>
  <c r="X32" i="2"/>
  <c r="X80" i="2"/>
  <c r="X123" i="2"/>
  <c r="X283" i="2"/>
  <c r="X291" i="2"/>
  <c r="X260" i="2"/>
  <c r="X73" i="2"/>
  <c r="X51" i="2"/>
  <c r="X137" i="2"/>
  <c r="X82" i="2"/>
  <c r="X286" i="2"/>
  <c r="X170" i="2"/>
  <c r="X117" i="2"/>
  <c r="X160" i="2"/>
  <c r="X171" i="2"/>
  <c r="X239" i="2"/>
  <c r="X125" i="2"/>
  <c r="X49" i="2"/>
  <c r="X267" i="2"/>
  <c r="X174" i="2"/>
  <c r="X12" i="2"/>
  <c r="X143" i="2"/>
  <c r="X107" i="2"/>
  <c r="X172" i="2"/>
  <c r="X57" i="2"/>
  <c r="X273" i="2"/>
  <c r="X89" i="2"/>
  <c r="X66" i="2"/>
  <c r="X181" i="2"/>
  <c r="X33" i="2"/>
  <c r="X301" i="2"/>
  <c r="X74" i="2"/>
  <c r="X144" i="2"/>
  <c r="X282" i="2"/>
  <c r="X141" i="2"/>
  <c r="X119" i="2"/>
  <c r="X256" i="2"/>
  <c r="X115" i="2"/>
  <c r="X108" i="2"/>
  <c r="X196" i="2"/>
  <c r="X266" i="2"/>
  <c r="X205" i="2"/>
  <c r="X184" i="2"/>
  <c r="X213" i="2"/>
  <c r="X250" i="2"/>
  <c r="X168" i="2"/>
  <c r="X185" i="2"/>
  <c r="X40" i="2"/>
  <c r="X37" i="2"/>
  <c r="X95" i="2"/>
  <c r="X176" i="2"/>
  <c r="X71" i="2"/>
  <c r="X162" i="2"/>
  <c r="X268" i="2"/>
  <c r="X18" i="2"/>
  <c r="X290" i="2"/>
  <c r="X189" i="2"/>
  <c r="X103" i="2"/>
  <c r="X15" i="2"/>
  <c r="X129" i="2"/>
  <c r="X216" i="2"/>
  <c r="X177" i="2"/>
  <c r="X24" i="2"/>
  <c r="X251" i="2"/>
  <c r="X296" i="2"/>
  <c r="X127" i="2"/>
  <c r="X59" i="2"/>
  <c r="X139" i="2"/>
  <c r="X77" i="2"/>
  <c r="X44" i="2"/>
  <c r="X61" i="2"/>
  <c r="X45" i="2"/>
  <c r="X133" i="2"/>
  <c r="X28" i="2"/>
  <c r="X50" i="2"/>
  <c r="X65" i="2"/>
  <c r="X145" i="2"/>
  <c r="X41" i="2"/>
  <c r="X98" i="2"/>
  <c r="X209" i="2"/>
  <c r="X55" i="2"/>
  <c r="X132" i="2"/>
  <c r="X222" i="2"/>
  <c r="X150" i="2"/>
  <c r="X154" i="2"/>
  <c r="X269" i="2"/>
  <c r="X293" i="2"/>
  <c r="X238" i="2"/>
  <c r="X101" i="2"/>
  <c r="X203" i="2"/>
  <c r="X134" i="2"/>
  <c r="X227" i="2"/>
  <c r="X295" i="2"/>
  <c r="X214" i="2"/>
  <c r="X64" i="2"/>
  <c r="X79" i="2"/>
  <c r="X206" i="2"/>
  <c r="X235" i="2"/>
  <c r="X130" i="2"/>
  <c r="X217" i="2"/>
  <c r="X122" i="2"/>
  <c r="X158" i="2"/>
  <c r="X105" i="2"/>
  <c r="X29" i="2"/>
  <c r="X17" i="2"/>
  <c r="X54" i="2"/>
  <c r="X62" i="2"/>
  <c r="X218" i="2"/>
  <c r="X157" i="2"/>
  <c r="X210" i="2"/>
  <c r="X292" i="2"/>
  <c r="X109" i="2"/>
  <c r="X112" i="2"/>
  <c r="X200" i="2"/>
  <c r="X35" i="2"/>
  <c r="X19" i="2"/>
  <c r="X211" i="2"/>
  <c r="X136" i="2"/>
  <c r="X264" i="2"/>
  <c r="X281" i="2"/>
  <c r="X67" i="2"/>
  <c r="X20" i="2"/>
  <c r="X146" i="2"/>
  <c r="X140" i="2"/>
  <c r="X31" i="2"/>
  <c r="X245" i="2"/>
  <c r="X194" i="2"/>
  <c r="X253" i="2"/>
  <c r="X88" i="2"/>
  <c r="X178" i="2"/>
  <c r="X85" i="2"/>
  <c r="X27" i="2"/>
  <c r="X201" i="2"/>
  <c r="X297" i="2"/>
  <c r="X83" i="2"/>
  <c r="X175" i="2"/>
  <c r="X52" i="2"/>
  <c r="X277" i="2"/>
  <c r="X219" i="2"/>
  <c r="X149" i="2"/>
  <c r="X11" i="2"/>
  <c r="X68" i="2"/>
  <c r="X193" i="2"/>
  <c r="X187" i="2"/>
  <c r="X173" i="2"/>
  <c r="X270" i="2"/>
  <c r="X126" i="2"/>
  <c r="X300" i="2"/>
  <c r="X232" i="2"/>
  <c r="X87" i="2"/>
  <c r="X38" i="2"/>
  <c r="X76" i="2"/>
  <c r="X190" i="2"/>
  <c r="X166" i="2"/>
  <c r="X183" i="2"/>
  <c r="X116" i="2"/>
  <c r="X34" i="2"/>
  <c r="X258" i="2"/>
  <c r="X207" i="2"/>
  <c r="X279" i="2"/>
  <c r="X23" i="2"/>
  <c r="X167" i="2"/>
  <c r="X147" i="2"/>
  <c r="X30" i="2"/>
  <c r="X204" i="2"/>
  <c r="X78" i="2"/>
  <c r="X275" i="2"/>
  <c r="X164" i="2"/>
  <c r="X138" i="2"/>
  <c r="X151" i="2"/>
  <c r="X56" i="2"/>
  <c r="X259" i="2"/>
  <c r="X131" i="2"/>
  <c r="X272" i="2"/>
  <c r="X84" i="2"/>
  <c r="X265" i="2"/>
  <c r="X75" i="2"/>
  <c r="X39" i="2"/>
  <c r="X70" i="2"/>
  <c r="X42" i="2"/>
  <c r="X113" i="2"/>
  <c r="X278" i="2"/>
  <c r="X215" i="2"/>
  <c r="X225" i="2"/>
  <c r="X165" i="2"/>
  <c r="X182" i="2"/>
  <c r="X22" i="2"/>
  <c r="X100" i="2"/>
  <c r="X199" i="2"/>
  <c r="W8" i="2"/>
  <c r="T302" i="2"/>
  <c r="W302" i="2" s="1"/>
  <c r="X302" i="2" s="1"/>
  <c r="Y263" i="2" s="1"/>
  <c r="X220" i="2"/>
  <c r="X118" i="2"/>
  <c r="X255" i="2"/>
  <c r="X179" i="2"/>
  <c r="X156" i="2"/>
  <c r="X289" i="2"/>
  <c r="X121" i="2"/>
  <c r="X25" i="2"/>
  <c r="X294" i="2"/>
  <c r="X81" i="2"/>
  <c r="X72" i="2"/>
  <c r="X298" i="2"/>
  <c r="X192" i="2"/>
  <c r="X159" i="2"/>
  <c r="X111" i="2"/>
  <c r="X247" i="2"/>
  <c r="X242" i="2"/>
  <c r="X163" i="2"/>
  <c r="X26" i="2"/>
  <c r="X10" i="2"/>
  <c r="X47" i="2"/>
  <c r="X271" i="2"/>
  <c r="X208" i="2"/>
  <c r="X243" i="2"/>
  <c r="Y26" i="2" l="1"/>
  <c r="Y121" i="2"/>
  <c r="Y255" i="2"/>
  <c r="Y165" i="2"/>
  <c r="Y204" i="2"/>
  <c r="Y72" i="2"/>
  <c r="Y199" i="2"/>
  <c r="Y111" i="2"/>
  <c r="Y208" i="2"/>
  <c r="Y113" i="2"/>
  <c r="Y75" i="2"/>
  <c r="Y131" i="2"/>
  <c r="Y138" i="2"/>
  <c r="Y23" i="2"/>
  <c r="Y34" i="2"/>
  <c r="Y190" i="2"/>
  <c r="Y271" i="2"/>
  <c r="Y232" i="2"/>
  <c r="Y173" i="2"/>
  <c r="Y52" i="2"/>
  <c r="Y201" i="2"/>
  <c r="Y178" i="2"/>
  <c r="Y20" i="2"/>
  <c r="Y136" i="2"/>
  <c r="Y200" i="2"/>
  <c r="Y210" i="2"/>
  <c r="Y54" i="2"/>
  <c r="Y158" i="2"/>
  <c r="Y235" i="2"/>
  <c r="Y214" i="2"/>
  <c r="Y203" i="2"/>
  <c r="Y132" i="2"/>
  <c r="Y41" i="2"/>
  <c r="Y28" i="2"/>
  <c r="Y44" i="2"/>
  <c r="Y127" i="2"/>
  <c r="Y177" i="2"/>
  <c r="Y103" i="2"/>
  <c r="Y268" i="2"/>
  <c r="Y95" i="2"/>
  <c r="Y168" i="2"/>
  <c r="Y205" i="2"/>
  <c r="Y115" i="2"/>
  <c r="Y282" i="2"/>
  <c r="Y33" i="2"/>
  <c r="Y89" i="2"/>
  <c r="Y107" i="2"/>
  <c r="Y267" i="2"/>
  <c r="Y171" i="2"/>
  <c r="Y286" i="2"/>
  <c r="Y73" i="2"/>
  <c r="Y123" i="2"/>
  <c r="Y97" i="2"/>
  <c r="Y93" i="2"/>
  <c r="Y13" i="2"/>
  <c r="Y299" i="2"/>
  <c r="Y128" i="2"/>
  <c r="Y153" i="2"/>
  <c r="Y284" i="2"/>
  <c r="Y236" i="2"/>
  <c r="Y212" i="2"/>
  <c r="Y99" i="2"/>
  <c r="Y36" i="2"/>
  <c r="Y254" i="2"/>
  <c r="Y43" i="2"/>
  <c r="Y287" i="2"/>
  <c r="Y114" i="2"/>
  <c r="Y124" i="2"/>
  <c r="Y161" i="2"/>
  <c r="Y231" i="2"/>
  <c r="Y120" i="2"/>
  <c r="Y11" i="2"/>
  <c r="F269" i="3"/>
  <c r="Y60" i="2"/>
  <c r="F208" i="3"/>
  <c r="F26" i="3"/>
  <c r="F111" i="3"/>
  <c r="F72" i="3"/>
  <c r="F121" i="3"/>
  <c r="F255" i="3"/>
  <c r="F199" i="3"/>
  <c r="F165" i="3"/>
  <c r="F113" i="3"/>
  <c r="F75" i="3"/>
  <c r="F131" i="3"/>
  <c r="F138" i="3"/>
  <c r="F204" i="3"/>
  <c r="F23" i="3"/>
  <c r="F34" i="3"/>
  <c r="F190" i="3"/>
  <c r="F232" i="3"/>
  <c r="F173" i="3"/>
  <c r="F11" i="3"/>
  <c r="F52" i="3"/>
  <c r="F201" i="3"/>
  <c r="F178" i="3"/>
  <c r="Y245" i="2"/>
  <c r="F20" i="3"/>
  <c r="F136" i="3"/>
  <c r="F200" i="3"/>
  <c r="F210" i="3"/>
  <c r="F54" i="3"/>
  <c r="F158" i="3"/>
  <c r="F235" i="3"/>
  <c r="F214" i="3"/>
  <c r="F203" i="3"/>
  <c r="Y269" i="2"/>
  <c r="F132" i="3"/>
  <c r="F41" i="3"/>
  <c r="F28" i="3"/>
  <c r="F44" i="3"/>
  <c r="F127" i="3"/>
  <c r="F177" i="3"/>
  <c r="F103" i="3"/>
  <c r="F268" i="3"/>
  <c r="F95" i="3"/>
  <c r="F168" i="3"/>
  <c r="F205" i="3"/>
  <c r="F115" i="3"/>
  <c r="F282" i="3"/>
  <c r="F33" i="3"/>
  <c r="F89" i="3"/>
  <c r="F107" i="3"/>
  <c r="F267" i="3"/>
  <c r="F171" i="3"/>
  <c r="F286" i="3"/>
  <c r="F73" i="3"/>
  <c r="F123" i="3"/>
  <c r="F97" i="3"/>
  <c r="F93" i="3"/>
  <c r="F13" i="3"/>
  <c r="F299" i="3"/>
  <c r="F128" i="3"/>
  <c r="F153" i="3"/>
  <c r="F284" i="3"/>
  <c r="F236" i="3"/>
  <c r="F212" i="3"/>
  <c r="F99" i="3"/>
  <c r="F36" i="3"/>
  <c r="F254" i="3"/>
  <c r="F43" i="3"/>
  <c r="F287" i="3"/>
  <c r="F114" i="3"/>
  <c r="F124" i="3"/>
  <c r="F161" i="3"/>
  <c r="F231" i="3"/>
  <c r="F120" i="3"/>
  <c r="F60" i="3"/>
  <c r="Y159" i="2"/>
  <c r="Y225" i="2"/>
  <c r="Y259" i="2"/>
  <c r="Y30" i="2"/>
  <c r="Y116" i="2"/>
  <c r="Y76" i="2"/>
  <c r="Y300" i="2"/>
  <c r="Y149" i="2"/>
  <c r="Y175" i="2"/>
  <c r="Y27" i="2"/>
  <c r="Y88" i="2"/>
  <c r="Y31" i="2"/>
  <c r="Y67" i="2"/>
  <c r="Y211" i="2"/>
  <c r="Y112" i="2"/>
  <c r="F157" i="3"/>
  <c r="Y17" i="2"/>
  <c r="Y122" i="2"/>
  <c r="Y206" i="2"/>
  <c r="Y295" i="2"/>
  <c r="Y101" i="2"/>
  <c r="Y154" i="2"/>
  <c r="Y55" i="2"/>
  <c r="Y145" i="2"/>
  <c r="Y133" i="2"/>
  <c r="Y77" i="2"/>
  <c r="Y296" i="2"/>
  <c r="Y216" i="2"/>
  <c r="Y189" i="2"/>
  <c r="Y162" i="2"/>
  <c r="Y37" i="2"/>
  <c r="Y250" i="2"/>
  <c r="Y266" i="2"/>
  <c r="Y256" i="2"/>
  <c r="Y144" i="2"/>
  <c r="Y181" i="2"/>
  <c r="Y273" i="2"/>
  <c r="Y143" i="2"/>
  <c r="Y49" i="2"/>
  <c r="Y160" i="2"/>
  <c r="Y82" i="2"/>
  <c r="Y260" i="2"/>
  <c r="Y80" i="2"/>
  <c r="Y228" i="2"/>
  <c r="Y21" i="2"/>
  <c r="Y229" i="2"/>
  <c r="Y91" i="2"/>
  <c r="Y180" i="2"/>
  <c r="Y285" i="2"/>
  <c r="Y249" i="2"/>
  <c r="Y262" i="2"/>
  <c r="Y188" i="2"/>
  <c r="Y288" i="2"/>
  <c r="Y237" i="2"/>
  <c r="Y9" i="2"/>
  <c r="Y240" i="2"/>
  <c r="Y226" i="2"/>
  <c r="Y246" i="2"/>
  <c r="Y46" i="2"/>
  <c r="Y233" i="2"/>
  <c r="Y191" i="2"/>
  <c r="Y90" i="2"/>
  <c r="Y163" i="2"/>
  <c r="Y100" i="2"/>
  <c r="Y164" i="2"/>
  <c r="F279" i="3"/>
  <c r="Y187" i="2"/>
  <c r="F271" i="3"/>
  <c r="F163" i="3"/>
  <c r="F159" i="3"/>
  <c r="Y81" i="2"/>
  <c r="F289" i="3"/>
  <c r="F118" i="3"/>
  <c r="F100" i="3"/>
  <c r="F225" i="3"/>
  <c r="F42" i="3"/>
  <c r="F265" i="3"/>
  <c r="F259" i="3"/>
  <c r="F164" i="3"/>
  <c r="F30" i="3"/>
  <c r="Y279" i="2"/>
  <c r="F116" i="3"/>
  <c r="F76" i="3"/>
  <c r="F300" i="3"/>
  <c r="F187" i="3"/>
  <c r="F149" i="3"/>
  <c r="F175" i="3"/>
  <c r="F27" i="3"/>
  <c r="F88" i="3"/>
  <c r="F31" i="3"/>
  <c r="F67" i="3"/>
  <c r="F211" i="3"/>
  <c r="F112" i="3"/>
  <c r="Y157" i="2"/>
  <c r="F17" i="3"/>
  <c r="F122" i="3"/>
  <c r="F206" i="3"/>
  <c r="F295" i="3"/>
  <c r="F101" i="3"/>
  <c r="F154" i="3"/>
  <c r="F55" i="3"/>
  <c r="F145" i="3"/>
  <c r="F133" i="3"/>
  <c r="F77" i="3"/>
  <c r="F296" i="3"/>
  <c r="F216" i="3"/>
  <c r="F189" i="3"/>
  <c r="F162" i="3"/>
  <c r="F37" i="3"/>
  <c r="F250" i="3"/>
  <c r="F266" i="3"/>
  <c r="F256" i="3"/>
  <c r="F144" i="3"/>
  <c r="F181" i="3"/>
  <c r="F273" i="3"/>
  <c r="F143" i="3"/>
  <c r="F49" i="3"/>
  <c r="F160" i="3"/>
  <c r="F82" i="3"/>
  <c r="F260" i="3"/>
  <c r="F80" i="3"/>
  <c r="F228" i="3"/>
  <c r="F21" i="3"/>
  <c r="F229" i="3"/>
  <c r="F91" i="3"/>
  <c r="F180" i="3"/>
  <c r="F285" i="3"/>
  <c r="F249" i="3"/>
  <c r="F262" i="3"/>
  <c r="F188" i="3"/>
  <c r="F288" i="3"/>
  <c r="F237" i="3"/>
  <c r="F9" i="3"/>
  <c r="F240" i="3"/>
  <c r="F226" i="3"/>
  <c r="F246" i="3"/>
  <c r="F46" i="3"/>
  <c r="F233" i="3"/>
  <c r="F191" i="3"/>
  <c r="F90" i="3"/>
  <c r="Y118" i="2"/>
  <c r="Y47" i="2"/>
  <c r="Y192" i="2"/>
  <c r="Y220" i="2"/>
  <c r="Y215" i="2"/>
  <c r="Y84" i="2"/>
  <c r="Y147" i="2"/>
  <c r="Y126" i="2"/>
  <c r="Y253" i="2"/>
  <c r="F217" i="3"/>
  <c r="Y79" i="2"/>
  <c r="Y238" i="2"/>
  <c r="Y65" i="2"/>
  <c r="Y139" i="2"/>
  <c r="Y129" i="2"/>
  <c r="Y290" i="2"/>
  <c r="Y71" i="2"/>
  <c r="Y40" i="2"/>
  <c r="Y213" i="2"/>
  <c r="Y196" i="2"/>
  <c r="Y119" i="2"/>
  <c r="Y66" i="2"/>
  <c r="Y57" i="2"/>
  <c r="Y12" i="2"/>
  <c r="Y125" i="2"/>
  <c r="Y117" i="2"/>
  <c r="Y137" i="2"/>
  <c r="Y291" i="2"/>
  <c r="Y32" i="2"/>
  <c r="Y202" i="2"/>
  <c r="Y110" i="2"/>
  <c r="Y195" i="2"/>
  <c r="Y92" i="2"/>
  <c r="Y16" i="2"/>
  <c r="Y58" i="2"/>
  <c r="Y14" i="2"/>
  <c r="Y102" i="2"/>
  <c r="Y197" i="2"/>
  <c r="Y244" i="2"/>
  <c r="Y186" i="2"/>
  <c r="Y155" i="2"/>
  <c r="Y223" i="2"/>
  <c r="Y221" i="2"/>
  <c r="Y224" i="2"/>
  <c r="Y234" i="2"/>
  <c r="Y261" i="2"/>
  <c r="Y142" i="2"/>
  <c r="Y152" i="2"/>
  <c r="Y252" i="2"/>
  <c r="F81" i="3"/>
  <c r="Y265" i="2"/>
  <c r="Y242" i="2"/>
  <c r="Y294" i="2"/>
  <c r="Y156" i="2"/>
  <c r="Y22" i="2"/>
  <c r="Y70" i="2"/>
  <c r="Y56" i="2"/>
  <c r="Y275" i="2"/>
  <c r="Y207" i="2"/>
  <c r="Y183" i="2"/>
  <c r="Y38" i="2"/>
  <c r="Y193" i="2"/>
  <c r="Y219" i="2"/>
  <c r="Y83" i="2"/>
  <c r="Y85" i="2"/>
  <c r="Y140" i="2"/>
  <c r="Y281" i="2"/>
  <c r="Y19" i="2"/>
  <c r="Y109" i="2"/>
  <c r="Y218" i="2"/>
  <c r="Y29" i="2"/>
  <c r="Y227" i="2"/>
  <c r="F150" i="3"/>
  <c r="Y209" i="2"/>
  <c r="Y45" i="2"/>
  <c r="Y251" i="2"/>
  <c r="Y74" i="2"/>
  <c r="F47" i="3"/>
  <c r="F242" i="3"/>
  <c r="F192" i="3"/>
  <c r="F294" i="3"/>
  <c r="F156" i="3"/>
  <c r="F220" i="3"/>
  <c r="F22" i="3"/>
  <c r="F215" i="3"/>
  <c r="F70" i="3"/>
  <c r="F84" i="3"/>
  <c r="F56" i="3"/>
  <c r="F275" i="3"/>
  <c r="F147" i="3"/>
  <c r="F207" i="3"/>
  <c r="F183" i="3"/>
  <c r="F38" i="3"/>
  <c r="F126" i="3"/>
  <c r="F193" i="3"/>
  <c r="F219" i="3"/>
  <c r="F83" i="3"/>
  <c r="F85" i="3"/>
  <c r="F253" i="3"/>
  <c r="F140" i="3"/>
  <c r="F281" i="3"/>
  <c r="F19" i="3"/>
  <c r="F109" i="3"/>
  <c r="F218" i="3"/>
  <c r="F29" i="3"/>
  <c r="Y217" i="2"/>
  <c r="F79" i="3"/>
  <c r="F227" i="3"/>
  <c r="F238" i="3"/>
  <c r="Y150" i="2"/>
  <c r="F209" i="3"/>
  <c r="F65" i="3"/>
  <c r="F45" i="3"/>
  <c r="F139" i="3"/>
  <c r="F251" i="3"/>
  <c r="F129" i="3"/>
  <c r="F290" i="3"/>
  <c r="F71" i="3"/>
  <c r="F40" i="3"/>
  <c r="F213" i="3"/>
  <c r="F196" i="3"/>
  <c r="F119" i="3"/>
  <c r="F74" i="3"/>
  <c r="F66" i="3"/>
  <c r="F57" i="3"/>
  <c r="F12" i="3"/>
  <c r="F125" i="3"/>
  <c r="F117" i="3"/>
  <c r="F137" i="3"/>
  <c r="F291" i="3"/>
  <c r="F32" i="3"/>
  <c r="F202" i="3"/>
  <c r="F110" i="3"/>
  <c r="F195" i="3"/>
  <c r="F92" i="3"/>
  <c r="F16" i="3"/>
  <c r="F58" i="3"/>
  <c r="F14" i="3"/>
  <c r="F102" i="3"/>
  <c r="F197" i="3"/>
  <c r="F244" i="3"/>
  <c r="F186" i="3"/>
  <c r="F155" i="3"/>
  <c r="F223" i="3"/>
  <c r="F221" i="3"/>
  <c r="F224" i="3"/>
  <c r="F234" i="3"/>
  <c r="F261" i="3"/>
  <c r="F142" i="3"/>
  <c r="F152" i="3"/>
  <c r="F252" i="3"/>
  <c r="F245" i="3"/>
  <c r="Y302" i="2"/>
  <c r="Y278" i="2"/>
  <c r="Y272" i="2"/>
  <c r="Y78" i="2"/>
  <c r="Y167" i="2"/>
  <c r="Y166" i="2"/>
  <c r="Y270" i="2"/>
  <c r="Y277" i="2"/>
  <c r="Y146" i="2"/>
  <c r="Y264" i="2"/>
  <c r="Y292" i="2"/>
  <c r="Y62" i="2"/>
  <c r="Y130" i="2"/>
  <c r="Y64" i="2"/>
  <c r="Y134" i="2"/>
  <c r="Y293" i="2"/>
  <c r="Y222" i="2"/>
  <c r="Y98" i="2"/>
  <c r="Y50" i="2"/>
  <c r="Y61" i="2"/>
  <c r="Y59" i="2"/>
  <c r="Y24" i="2"/>
  <c r="Y18" i="2"/>
  <c r="Y176" i="2"/>
  <c r="Y185" i="2"/>
  <c r="Y184" i="2"/>
  <c r="Y108" i="2"/>
  <c r="Y141" i="2"/>
  <c r="Y301" i="2"/>
  <c r="Y172" i="2"/>
  <c r="Y174" i="2"/>
  <c r="Y239" i="2"/>
  <c r="Y170" i="2"/>
  <c r="Y51" i="2"/>
  <c r="Y283" i="2"/>
  <c r="Y248" i="2"/>
  <c r="Y148" i="2"/>
  <c r="Y241" i="2"/>
  <c r="Y96" i="2"/>
  <c r="Y69" i="2"/>
  <c r="F274" i="3"/>
  <c r="Y230" i="2"/>
  <c r="Y276" i="2"/>
  <c r="Y280" i="2"/>
  <c r="Y63" i="2"/>
  <c r="Y169" i="2"/>
  <c r="Y48" i="2"/>
  <c r="Y86" i="2"/>
  <c r="Y198" i="2"/>
  <c r="Y53" i="2"/>
  <c r="Y104" i="2"/>
  <c r="Y257" i="2"/>
  <c r="Y106" i="2"/>
  <c r="F135" i="3"/>
  <c r="Y94" i="2"/>
  <c r="Y289" i="2"/>
  <c r="Y42" i="2"/>
  <c r="Y243" i="2"/>
  <c r="Y10" i="2"/>
  <c r="Y247" i="2"/>
  <c r="Y298" i="2"/>
  <c r="Y25" i="2"/>
  <c r="Y179" i="2"/>
  <c r="F182" i="3"/>
  <c r="Y39" i="2"/>
  <c r="Y151" i="2"/>
  <c r="Y258" i="2"/>
  <c r="Y87" i="2"/>
  <c r="Y68" i="2"/>
  <c r="Y297" i="2"/>
  <c r="Y194" i="2"/>
  <c r="Y35" i="2"/>
  <c r="Y105" i="2"/>
  <c r="Y15" i="2"/>
  <c r="F243" i="3"/>
  <c r="F10" i="3"/>
  <c r="F247" i="3"/>
  <c r="F298" i="3"/>
  <c r="F25" i="3"/>
  <c r="F179" i="3"/>
  <c r="D8" i="3"/>
  <c r="X8" i="2"/>
  <c r="Y8" i="2" s="1"/>
  <c r="Y182" i="2"/>
  <c r="F278" i="3"/>
  <c r="F39" i="3"/>
  <c r="F272" i="3"/>
  <c r="F151" i="3"/>
  <c r="F78" i="3"/>
  <c r="F167" i="3"/>
  <c r="F258" i="3"/>
  <c r="F166" i="3"/>
  <c r="F87" i="3"/>
  <c r="F270" i="3"/>
  <c r="F68" i="3"/>
  <c r="F277" i="3"/>
  <c r="F297" i="3"/>
  <c r="F194" i="3"/>
  <c r="F146" i="3"/>
  <c r="F264" i="3"/>
  <c r="F35" i="3"/>
  <c r="F292" i="3"/>
  <c r="F62" i="3"/>
  <c r="F105" i="3"/>
  <c r="F130" i="3"/>
  <c r="F64" i="3"/>
  <c r="F134" i="3"/>
  <c r="F293" i="3"/>
  <c r="F222" i="3"/>
  <c r="F98" i="3"/>
  <c r="F50" i="3"/>
  <c r="F61" i="3"/>
  <c r="F59" i="3"/>
  <c r="F24" i="3"/>
  <c r="F15" i="3"/>
  <c r="F18" i="3"/>
  <c r="F176" i="3"/>
  <c r="F185" i="3"/>
  <c r="F184" i="3"/>
  <c r="F108" i="3"/>
  <c r="F141" i="3"/>
  <c r="F301" i="3"/>
  <c r="F172" i="3"/>
  <c r="F174" i="3"/>
  <c r="F239" i="3"/>
  <c r="F170" i="3"/>
  <c r="F51" i="3"/>
  <c r="F283" i="3"/>
  <c r="F248" i="3"/>
  <c r="F148" i="3"/>
  <c r="F241" i="3"/>
  <c r="F96" i="3"/>
  <c r="F69" i="3"/>
  <c r="Y274" i="2"/>
  <c r="F230" i="3"/>
  <c r="F276" i="3"/>
  <c r="F280" i="3"/>
  <c r="F63" i="3"/>
  <c r="F169" i="3"/>
  <c r="F48" i="3"/>
  <c r="F86" i="3"/>
  <c r="F198" i="3"/>
  <c r="F53" i="3"/>
  <c r="F104" i="3"/>
  <c r="F257" i="3"/>
  <c r="F106" i="3"/>
  <c r="Y135" i="2"/>
  <c r="F94" i="3"/>
  <c r="F8" i="3" l="1"/>
  <c r="D302" i="3"/>
  <c r="F302" i="3" s="1"/>
  <c r="G239" i="3" s="1"/>
  <c r="H239" i="3" s="1"/>
  <c r="G219" i="3" l="1"/>
  <c r="H219" i="3" s="1"/>
  <c r="C219" i="55" s="1"/>
  <c r="G14" i="3"/>
  <c r="H14" i="3" s="1"/>
  <c r="J14" i="3" s="1"/>
  <c r="G283" i="3"/>
  <c r="H283" i="3" s="1"/>
  <c r="C283" i="55" s="1"/>
  <c r="G158" i="3"/>
  <c r="H158" i="3" s="1"/>
  <c r="C158" i="55" s="1"/>
  <c r="G108" i="3"/>
  <c r="H108" i="3" s="1"/>
  <c r="C108" i="55" s="1"/>
  <c r="G203" i="3"/>
  <c r="H203" i="3" s="1"/>
  <c r="C203" i="55" s="1"/>
  <c r="G192" i="3"/>
  <c r="H192" i="3" s="1"/>
  <c r="C192" i="55" s="1"/>
  <c r="G181" i="3"/>
  <c r="H181" i="3" s="1"/>
  <c r="J181" i="3" s="1"/>
  <c r="G86" i="3"/>
  <c r="H86" i="3" s="1"/>
  <c r="C86" i="55" s="1"/>
  <c r="G280" i="3"/>
  <c r="H280" i="3" s="1"/>
  <c r="J280" i="3" s="1"/>
  <c r="G89" i="3"/>
  <c r="H89" i="3" s="1"/>
  <c r="C89" i="55" s="1"/>
  <c r="G142" i="3"/>
  <c r="H142" i="3" s="1"/>
  <c r="J142" i="3" s="1"/>
  <c r="G21" i="3"/>
  <c r="H21" i="3" s="1"/>
  <c r="J21" i="3" s="1"/>
  <c r="G110" i="3"/>
  <c r="H110" i="3" s="1"/>
  <c r="J110" i="3" s="1"/>
  <c r="G37" i="3"/>
  <c r="H37" i="3" s="1"/>
  <c r="C37" i="55" s="1"/>
  <c r="G172" i="3"/>
  <c r="H172" i="3" s="1"/>
  <c r="C172" i="55" s="1"/>
  <c r="G58" i="3"/>
  <c r="H58" i="3" s="1"/>
  <c r="C58" i="55" s="1"/>
  <c r="G266" i="3"/>
  <c r="H266" i="3" s="1"/>
  <c r="J266" i="3" s="1"/>
  <c r="G195" i="3"/>
  <c r="H195" i="3" s="1"/>
  <c r="J195" i="3" s="1"/>
  <c r="G204" i="3"/>
  <c r="H204" i="3" s="1"/>
  <c r="C204" i="55" s="1"/>
  <c r="G28" i="3"/>
  <c r="H28" i="3" s="1"/>
  <c r="C28" i="55" s="1"/>
  <c r="G207" i="3"/>
  <c r="H207" i="3" s="1"/>
  <c r="C207" i="55" s="1"/>
  <c r="G301" i="3"/>
  <c r="H301" i="3" s="1"/>
  <c r="C301" i="55" s="1"/>
  <c r="G25" i="3"/>
  <c r="H25" i="3" s="1"/>
  <c r="J25" i="3" s="1"/>
  <c r="G99" i="3"/>
  <c r="H99" i="3" s="1"/>
  <c r="C99" i="55" s="1"/>
  <c r="G68" i="3"/>
  <c r="H68" i="3" s="1"/>
  <c r="J68" i="3" s="1"/>
  <c r="G122" i="3"/>
  <c r="H122" i="3" s="1"/>
  <c r="C122" i="55" s="1"/>
  <c r="G215" i="3"/>
  <c r="H215" i="3" s="1"/>
  <c r="J215" i="3" s="1"/>
  <c r="G75" i="3"/>
  <c r="H75" i="3" s="1"/>
  <c r="C75" i="55" s="1"/>
  <c r="G50" i="3"/>
  <c r="H50" i="3" s="1"/>
  <c r="J50" i="3" s="1"/>
  <c r="G242" i="3"/>
  <c r="H242" i="3" s="1"/>
  <c r="C242" i="55" s="1"/>
  <c r="G189" i="3"/>
  <c r="H189" i="3" s="1"/>
  <c r="J189" i="3" s="1"/>
  <c r="G256" i="3"/>
  <c r="H256" i="3" s="1"/>
  <c r="C256" i="55" s="1"/>
  <c r="G36" i="3"/>
  <c r="H36" i="3" s="1"/>
  <c r="C36" i="55" s="1"/>
  <c r="G152" i="3"/>
  <c r="H152" i="3" s="1"/>
  <c r="J152" i="3" s="1"/>
  <c r="G41" i="3"/>
  <c r="H41" i="3" s="1"/>
  <c r="J41" i="3" s="1"/>
  <c r="G223" i="3"/>
  <c r="H223" i="3" s="1"/>
  <c r="C223" i="55" s="1"/>
  <c r="G196" i="3"/>
  <c r="H196" i="3" s="1"/>
  <c r="C196" i="55" s="1"/>
  <c r="G42" i="3"/>
  <c r="H42" i="3" s="1"/>
  <c r="J42" i="3" s="1"/>
  <c r="G40" i="3"/>
  <c r="H40" i="3" s="1"/>
  <c r="C40" i="55" s="1"/>
  <c r="G277" i="3"/>
  <c r="H277" i="3" s="1"/>
  <c r="C277" i="55" s="1"/>
  <c r="G254" i="3"/>
  <c r="H254" i="3" s="1"/>
  <c r="C254" i="55" s="1"/>
  <c r="G138" i="3"/>
  <c r="H138" i="3" s="1"/>
  <c r="C138" i="55" s="1"/>
  <c r="G179" i="3"/>
  <c r="H179" i="3" s="1"/>
  <c r="C179" i="55" s="1"/>
  <c r="G46" i="3"/>
  <c r="H46" i="3" s="1"/>
  <c r="J46" i="3" s="1"/>
  <c r="G162" i="3"/>
  <c r="H162" i="3" s="1"/>
  <c r="J162" i="3" s="1"/>
  <c r="G190" i="3"/>
  <c r="H190" i="3" s="1"/>
  <c r="J190" i="3" s="1"/>
  <c r="G281" i="3"/>
  <c r="H281" i="3" s="1"/>
  <c r="C281" i="55" s="1"/>
  <c r="G102" i="3"/>
  <c r="H102" i="3" s="1"/>
  <c r="C102" i="55" s="1"/>
  <c r="G170" i="3"/>
  <c r="H170" i="3" s="1"/>
  <c r="C170" i="55" s="1"/>
  <c r="G73" i="3"/>
  <c r="H73" i="3" s="1"/>
  <c r="J73" i="3" s="1"/>
  <c r="G237" i="3"/>
  <c r="H237" i="3" s="1"/>
  <c r="J237" i="3" s="1"/>
  <c r="G148" i="3"/>
  <c r="H148" i="3" s="1"/>
  <c r="C148" i="55" s="1"/>
  <c r="G271" i="3"/>
  <c r="H271" i="3" s="1"/>
  <c r="C271" i="55" s="1"/>
  <c r="G191" i="3"/>
  <c r="H191" i="3" s="1"/>
  <c r="C191" i="55" s="1"/>
  <c r="G211" i="3"/>
  <c r="H211" i="3" s="1"/>
  <c r="J211" i="3" s="1"/>
  <c r="G72" i="3"/>
  <c r="H72" i="3" s="1"/>
  <c r="C72" i="55" s="1"/>
  <c r="G264" i="3"/>
  <c r="H264" i="3" s="1"/>
  <c r="C264" i="55" s="1"/>
  <c r="G80" i="3"/>
  <c r="H80" i="3" s="1"/>
  <c r="J80" i="3" s="1"/>
  <c r="G161" i="3"/>
  <c r="H161" i="3" s="1"/>
  <c r="C161" i="55" s="1"/>
  <c r="G185" i="3"/>
  <c r="H185" i="3" s="1"/>
  <c r="C185" i="55" s="1"/>
  <c r="C239" i="55"/>
  <c r="J239" i="3"/>
  <c r="C266" i="55"/>
  <c r="G103" i="3"/>
  <c r="H103" i="3" s="1"/>
  <c r="G77" i="3"/>
  <c r="H77" i="3" s="1"/>
  <c r="G226" i="3"/>
  <c r="H226" i="3" s="1"/>
  <c r="G57" i="3"/>
  <c r="H57" i="3" s="1"/>
  <c r="G10" i="3"/>
  <c r="H10" i="3" s="1"/>
  <c r="G269" i="3"/>
  <c r="H269" i="3" s="1"/>
  <c r="G13" i="3"/>
  <c r="H13" i="3" s="1"/>
  <c r="G154" i="3"/>
  <c r="H154" i="3" s="1"/>
  <c r="G298" i="3"/>
  <c r="H298" i="3" s="1"/>
  <c r="G205" i="3"/>
  <c r="H205" i="3" s="1"/>
  <c r="G165" i="3"/>
  <c r="H165" i="3" s="1"/>
  <c r="G27" i="3"/>
  <c r="H27" i="3" s="1"/>
  <c r="G275" i="3"/>
  <c r="H275" i="3" s="1"/>
  <c r="G186" i="3"/>
  <c r="H186" i="3" s="1"/>
  <c r="G61" i="3"/>
  <c r="H61" i="3" s="1"/>
  <c r="G105" i="3"/>
  <c r="H105" i="3" s="1"/>
  <c r="G35" i="3"/>
  <c r="H35" i="3" s="1"/>
  <c r="G232" i="3"/>
  <c r="H232" i="3" s="1"/>
  <c r="G289" i="3"/>
  <c r="H289" i="3" s="1"/>
  <c r="G246" i="3"/>
  <c r="H246" i="3" s="1"/>
  <c r="G243" i="3"/>
  <c r="H243" i="3" s="1"/>
  <c r="G106" i="3"/>
  <c r="H106" i="3" s="1"/>
  <c r="G124" i="3"/>
  <c r="H124" i="3" s="1"/>
  <c r="G47" i="3"/>
  <c r="H47" i="3" s="1"/>
  <c r="G234" i="3"/>
  <c r="H234" i="3" s="1"/>
  <c r="G233" i="3"/>
  <c r="H233" i="3" s="1"/>
  <c r="G177" i="3"/>
  <c r="H177" i="3" s="1"/>
  <c r="G163" i="3"/>
  <c r="H163" i="3" s="1"/>
  <c r="G180" i="3"/>
  <c r="H180" i="3" s="1"/>
  <c r="G74" i="3"/>
  <c r="H74" i="3" s="1"/>
  <c r="G111" i="3"/>
  <c r="H111" i="3" s="1"/>
  <c r="G210" i="3"/>
  <c r="H210" i="3" s="1"/>
  <c r="G273" i="3"/>
  <c r="H273" i="3" s="1"/>
  <c r="G193" i="3"/>
  <c r="H193" i="3" s="1"/>
  <c r="G261" i="3"/>
  <c r="H261" i="3" s="1"/>
  <c r="G214" i="3"/>
  <c r="H214" i="3" s="1"/>
  <c r="G284" i="3"/>
  <c r="H284" i="3" s="1"/>
  <c r="G56" i="3"/>
  <c r="H56" i="3" s="1"/>
  <c r="G151" i="3"/>
  <c r="H151" i="3" s="1"/>
  <c r="G17" i="3"/>
  <c r="H17" i="3" s="1"/>
  <c r="G136" i="3"/>
  <c r="H136" i="3" s="1"/>
  <c r="G296" i="3"/>
  <c r="H296" i="3" s="1"/>
  <c r="G38" i="3"/>
  <c r="H38" i="3" s="1"/>
  <c r="G224" i="3"/>
  <c r="H224" i="3" s="1"/>
  <c r="G18" i="3"/>
  <c r="H18" i="3" s="1"/>
  <c r="G293" i="3"/>
  <c r="H293" i="3" s="1"/>
  <c r="G287" i="3"/>
  <c r="H287" i="3" s="1"/>
  <c r="G201" i="3"/>
  <c r="H201" i="3" s="1"/>
  <c r="G30" i="3"/>
  <c r="H30" i="3" s="1"/>
  <c r="G90" i="3"/>
  <c r="H90" i="3" s="1"/>
  <c r="G96" i="3"/>
  <c r="H96" i="3" s="1"/>
  <c r="G200" i="3"/>
  <c r="H200" i="3" s="1"/>
  <c r="G157" i="3"/>
  <c r="H157" i="3" s="1"/>
  <c r="G70" i="3"/>
  <c r="H70" i="3" s="1"/>
  <c r="G252" i="3"/>
  <c r="H252" i="3" s="1"/>
  <c r="G253" i="3"/>
  <c r="H253" i="3" s="1"/>
  <c r="G168" i="3"/>
  <c r="H168" i="3" s="1"/>
  <c r="G118" i="3"/>
  <c r="H118" i="3" s="1"/>
  <c r="G125" i="3"/>
  <c r="H125" i="3" s="1"/>
  <c r="G93" i="3"/>
  <c r="H93" i="3" s="1"/>
  <c r="G171" i="3"/>
  <c r="H171" i="3" s="1"/>
  <c r="G82" i="3"/>
  <c r="H82" i="3" s="1"/>
  <c r="G109" i="3"/>
  <c r="H109" i="3" s="1"/>
  <c r="G245" i="3"/>
  <c r="H245" i="3" s="1"/>
  <c r="G286" i="3"/>
  <c r="H286" i="3" s="1"/>
  <c r="G132" i="3"/>
  <c r="H132" i="3" s="1"/>
  <c r="G94" i="3"/>
  <c r="H94" i="3" s="1"/>
  <c r="G147" i="3"/>
  <c r="H147" i="3" s="1"/>
  <c r="G265" i="3"/>
  <c r="H265" i="3" s="1"/>
  <c r="G175" i="3"/>
  <c r="H175" i="3" s="1"/>
  <c r="G65" i="3"/>
  <c r="H65" i="3" s="1"/>
  <c r="G143" i="3"/>
  <c r="H143" i="3" s="1"/>
  <c r="G52" i="3"/>
  <c r="H52" i="3" s="1"/>
  <c r="G268" i="3"/>
  <c r="H268" i="3" s="1"/>
  <c r="G29" i="3"/>
  <c r="H29" i="3" s="1"/>
  <c r="G278" i="3"/>
  <c r="H278" i="3" s="1"/>
  <c r="G48" i="3"/>
  <c r="H48" i="3" s="1"/>
  <c r="G258" i="3"/>
  <c r="H258" i="3" s="1"/>
  <c r="G267" i="3"/>
  <c r="H267" i="3" s="1"/>
  <c r="G88" i="3"/>
  <c r="H88" i="3" s="1"/>
  <c r="G83" i="3"/>
  <c r="H83" i="3" s="1"/>
  <c r="G176" i="3"/>
  <c r="H176" i="3" s="1"/>
  <c r="G127" i="3"/>
  <c r="H127" i="3" s="1"/>
  <c r="G250" i="3"/>
  <c r="H250" i="3" s="1"/>
  <c r="G126" i="3"/>
  <c r="H126" i="3" s="1"/>
  <c r="G167" i="3"/>
  <c r="H167" i="3" s="1"/>
  <c r="G255" i="3"/>
  <c r="H255" i="3" s="1"/>
  <c r="G97" i="3"/>
  <c r="H97" i="3" s="1"/>
  <c r="G116" i="3"/>
  <c r="H116" i="3" s="1"/>
  <c r="G156" i="3"/>
  <c r="H156" i="3" s="1"/>
  <c r="G155" i="3"/>
  <c r="H155" i="3" s="1"/>
  <c r="G240" i="3"/>
  <c r="H240" i="3" s="1"/>
  <c r="G259" i="3"/>
  <c r="H259" i="3" s="1"/>
  <c r="G288" i="3"/>
  <c r="H288" i="3" s="1"/>
  <c r="G129" i="3"/>
  <c r="H129" i="3" s="1"/>
  <c r="G292" i="3"/>
  <c r="H292" i="3" s="1"/>
  <c r="G182" i="3"/>
  <c r="H182" i="3" s="1"/>
  <c r="C68" i="55"/>
  <c r="G294" i="3"/>
  <c r="H294" i="3" s="1"/>
  <c r="G112" i="3"/>
  <c r="H112" i="3" s="1"/>
  <c r="G26" i="3"/>
  <c r="H26" i="3" s="1"/>
  <c r="G217" i="3"/>
  <c r="H217" i="3" s="1"/>
  <c r="G194" i="3"/>
  <c r="H194" i="3" s="1"/>
  <c r="G231" i="3"/>
  <c r="H231" i="3" s="1"/>
  <c r="G244" i="3"/>
  <c r="H244" i="3" s="1"/>
  <c r="G11" i="3"/>
  <c r="H11" i="3" s="1"/>
  <c r="G114" i="3"/>
  <c r="H114" i="3" s="1"/>
  <c r="G134" i="3"/>
  <c r="H134" i="3" s="1"/>
  <c r="G144" i="3"/>
  <c r="H144" i="3" s="1"/>
  <c r="G51" i="3"/>
  <c r="H51" i="3" s="1"/>
  <c r="G199" i="3"/>
  <c r="H199" i="3" s="1"/>
  <c r="G225" i="3"/>
  <c r="H225" i="3" s="1"/>
  <c r="G260" i="3"/>
  <c r="H260" i="3" s="1"/>
  <c r="G183" i="3"/>
  <c r="H183" i="3" s="1"/>
  <c r="G221" i="3"/>
  <c r="H221" i="3" s="1"/>
  <c r="G15" i="3"/>
  <c r="H15" i="3" s="1"/>
  <c r="G153" i="3"/>
  <c r="H153" i="3" s="1"/>
  <c r="G20" i="3"/>
  <c r="H20" i="3" s="1"/>
  <c r="G279" i="3"/>
  <c r="H279" i="3" s="1"/>
  <c r="G218" i="3"/>
  <c r="H218" i="3" s="1"/>
  <c r="G230" i="3"/>
  <c r="H230" i="3" s="1"/>
  <c r="G8" i="3"/>
  <c r="H8" i="3" s="1"/>
  <c r="G115" i="3"/>
  <c r="H115" i="3" s="1"/>
  <c r="G91" i="3"/>
  <c r="H91" i="3" s="1"/>
  <c r="G238" i="3"/>
  <c r="H238" i="3" s="1"/>
  <c r="G78" i="3"/>
  <c r="H78" i="3" s="1"/>
  <c r="G241" i="3"/>
  <c r="H241" i="3" s="1"/>
  <c r="G270" i="3"/>
  <c r="H270" i="3" s="1"/>
  <c r="G208" i="3"/>
  <c r="H208" i="3" s="1"/>
  <c r="G123" i="3"/>
  <c r="H123" i="3" s="1"/>
  <c r="G206" i="3"/>
  <c r="H206" i="3" s="1"/>
  <c r="G139" i="3"/>
  <c r="H139" i="3" s="1"/>
  <c r="G257" i="3"/>
  <c r="H257" i="3" s="1"/>
  <c r="G95" i="3"/>
  <c r="H95" i="3" s="1"/>
  <c r="G160" i="3"/>
  <c r="H160" i="3" s="1"/>
  <c r="G85" i="3"/>
  <c r="H85" i="3" s="1"/>
  <c r="G130" i="3"/>
  <c r="H130" i="3" s="1"/>
  <c r="G23" i="3"/>
  <c r="H23" i="3" s="1"/>
  <c r="G128" i="3"/>
  <c r="H128" i="3" s="1"/>
  <c r="G295" i="3"/>
  <c r="H295" i="3" s="1"/>
  <c r="G19" i="3"/>
  <c r="H19" i="3" s="1"/>
  <c r="G274" i="3"/>
  <c r="H274" i="3" s="1"/>
  <c r="G197" i="3"/>
  <c r="H197" i="3" s="1"/>
  <c r="G149" i="3"/>
  <c r="H149" i="3" s="1"/>
  <c r="G81" i="3"/>
  <c r="H81" i="3" s="1"/>
  <c r="G213" i="3"/>
  <c r="H213" i="3" s="1"/>
  <c r="G64" i="3"/>
  <c r="H64" i="3" s="1"/>
  <c r="G272" i="3"/>
  <c r="H272" i="3" s="1"/>
  <c r="J89" i="3"/>
  <c r="J36" i="3"/>
  <c r="G187" i="3"/>
  <c r="H187" i="3" s="1"/>
  <c r="G235" i="3"/>
  <c r="H235" i="3" s="1"/>
  <c r="G135" i="3"/>
  <c r="H135" i="3" s="1"/>
  <c r="G33" i="3"/>
  <c r="H33" i="3" s="1"/>
  <c r="G92" i="3"/>
  <c r="H92" i="3" s="1"/>
  <c r="G100" i="3"/>
  <c r="H100" i="3" s="1"/>
  <c r="G285" i="3"/>
  <c r="H285" i="3" s="1"/>
  <c r="G202" i="3"/>
  <c r="H202" i="3" s="1"/>
  <c r="G22" i="3"/>
  <c r="H22" i="3" s="1"/>
  <c r="G62" i="3"/>
  <c r="H62" i="3" s="1"/>
  <c r="G140" i="3"/>
  <c r="H140" i="3" s="1"/>
  <c r="G229" i="3"/>
  <c r="H229" i="3" s="1"/>
  <c r="G184" i="3"/>
  <c r="H184" i="3" s="1"/>
  <c r="G164" i="3"/>
  <c r="H164" i="3" s="1"/>
  <c r="G141" i="3"/>
  <c r="H141" i="3" s="1"/>
  <c r="G107" i="3"/>
  <c r="H107" i="3" s="1"/>
  <c r="G262" i="3"/>
  <c r="H262" i="3" s="1"/>
  <c r="G119" i="3"/>
  <c r="H119" i="3" s="1"/>
  <c r="G87" i="3"/>
  <c r="H87" i="3" s="1"/>
  <c r="G169" i="3"/>
  <c r="H169" i="3" s="1"/>
  <c r="G222" i="3"/>
  <c r="H222" i="3" s="1"/>
  <c r="G121" i="3"/>
  <c r="H121" i="3" s="1"/>
  <c r="G236" i="3"/>
  <c r="H236" i="3" s="1"/>
  <c r="G55" i="3"/>
  <c r="H55" i="3" s="1"/>
  <c r="G71" i="3"/>
  <c r="H71" i="3" s="1"/>
  <c r="G159" i="3"/>
  <c r="H159" i="3" s="1"/>
  <c r="G282" i="3"/>
  <c r="H282" i="3" s="1"/>
  <c r="G228" i="3"/>
  <c r="H228" i="3" s="1"/>
  <c r="G209" i="3"/>
  <c r="H209" i="3" s="1"/>
  <c r="G174" i="3"/>
  <c r="H174" i="3" s="1"/>
  <c r="G173" i="3"/>
  <c r="H173" i="3" s="1"/>
  <c r="G212" i="3"/>
  <c r="H212" i="3" s="1"/>
  <c r="G145" i="3"/>
  <c r="H145" i="3" s="1"/>
  <c r="G79" i="3"/>
  <c r="H79" i="3" s="1"/>
  <c r="G39" i="3"/>
  <c r="H39" i="3" s="1"/>
  <c r="G247" i="3"/>
  <c r="H247" i="3" s="1"/>
  <c r="G31" i="3"/>
  <c r="H31" i="3" s="1"/>
  <c r="G220" i="3"/>
  <c r="H220" i="3" s="1"/>
  <c r="G66" i="3"/>
  <c r="H66" i="3" s="1"/>
  <c r="G98" i="3"/>
  <c r="H98" i="3" s="1"/>
  <c r="C195" i="55"/>
  <c r="G263" i="3"/>
  <c r="H263" i="3" s="1"/>
  <c r="F6" i="3"/>
  <c r="G7" i="45"/>
  <c r="G131" i="3"/>
  <c r="H131" i="3" s="1"/>
  <c r="G76" i="3"/>
  <c r="H76" i="3" s="1"/>
  <c r="G227" i="3"/>
  <c r="H227" i="3" s="1"/>
  <c r="G166" i="3"/>
  <c r="H166" i="3" s="1"/>
  <c r="G150" i="3"/>
  <c r="H150" i="3" s="1"/>
  <c r="G54" i="3"/>
  <c r="H54" i="3" s="1"/>
  <c r="G290" i="3"/>
  <c r="H290" i="3" s="1"/>
  <c r="G34" i="3"/>
  <c r="H34" i="3" s="1"/>
  <c r="G67" i="3"/>
  <c r="H67" i="3" s="1"/>
  <c r="G249" i="3"/>
  <c r="H249" i="3" s="1"/>
  <c r="G45" i="3"/>
  <c r="H45" i="3" s="1"/>
  <c r="G146" i="3"/>
  <c r="H146" i="3" s="1"/>
  <c r="G53" i="3"/>
  <c r="H53" i="3" s="1"/>
  <c r="G16" i="3"/>
  <c r="H16" i="3" s="1"/>
  <c r="G44" i="3"/>
  <c r="H44" i="3" s="1"/>
  <c r="G300" i="3"/>
  <c r="H300" i="3" s="1"/>
  <c r="G137" i="3"/>
  <c r="H137" i="3" s="1"/>
  <c r="G104" i="3"/>
  <c r="H104" i="3" s="1"/>
  <c r="G69" i="3"/>
  <c r="H69" i="3" s="1"/>
  <c r="G120" i="3"/>
  <c r="H120" i="3" s="1"/>
  <c r="G9" i="3"/>
  <c r="H9" i="3" s="1"/>
  <c r="G12" i="3"/>
  <c r="H12" i="3" s="1"/>
  <c r="G297" i="3"/>
  <c r="H297" i="3" s="1"/>
  <c r="G276" i="3"/>
  <c r="H276" i="3" s="1"/>
  <c r="G113" i="3"/>
  <c r="H113" i="3" s="1"/>
  <c r="G60" i="3"/>
  <c r="H60" i="3" s="1"/>
  <c r="G49" i="3"/>
  <c r="H49" i="3" s="1"/>
  <c r="G291" i="3"/>
  <c r="H291" i="3" s="1"/>
  <c r="G101" i="3"/>
  <c r="H101" i="3" s="1"/>
  <c r="G299" i="3"/>
  <c r="H299" i="3" s="1"/>
  <c r="G188" i="3"/>
  <c r="H188" i="3" s="1"/>
  <c r="G32" i="3"/>
  <c r="H32" i="3" s="1"/>
  <c r="G248" i="3"/>
  <c r="H248" i="3" s="1"/>
  <c r="G178" i="3"/>
  <c r="H178" i="3" s="1"/>
  <c r="G43" i="3"/>
  <c r="H43" i="3" s="1"/>
  <c r="G216" i="3"/>
  <c r="H216" i="3" s="1"/>
  <c r="G251" i="3"/>
  <c r="H251" i="3" s="1"/>
  <c r="G59" i="3"/>
  <c r="H59" i="3" s="1"/>
  <c r="G63" i="3"/>
  <c r="H63" i="3" s="1"/>
  <c r="G133" i="3"/>
  <c r="H133" i="3" s="1"/>
  <c r="G84" i="3"/>
  <c r="H84" i="3" s="1"/>
  <c r="G117" i="3"/>
  <c r="H117" i="3" s="1"/>
  <c r="G24" i="3"/>
  <c r="H24" i="3" s="1"/>
  <c r="G198" i="3"/>
  <c r="H198" i="3" s="1"/>
  <c r="C280" i="55" l="1"/>
  <c r="C14" i="55"/>
  <c r="C215" i="55"/>
  <c r="C142" i="55"/>
  <c r="J204" i="3"/>
  <c r="C21" i="55"/>
  <c r="C41" i="55"/>
  <c r="C152" i="55"/>
  <c r="J158" i="3"/>
  <c r="J170" i="3"/>
  <c r="J254" i="3"/>
  <c r="J219" i="3"/>
  <c r="J28" i="3"/>
  <c r="C211" i="55"/>
  <c r="J277" i="3"/>
  <c r="J58" i="3"/>
  <c r="J108" i="3"/>
  <c r="J256" i="3"/>
  <c r="J99" i="3"/>
  <c r="C80" i="55"/>
  <c r="J283" i="3"/>
  <c r="J122" i="3"/>
  <c r="J37" i="3"/>
  <c r="C46" i="55"/>
  <c r="J192" i="3"/>
  <c r="J161" i="3"/>
  <c r="J72" i="3"/>
  <c r="C110" i="55"/>
  <c r="J196" i="3"/>
  <c r="J102" i="3"/>
  <c r="C162" i="55"/>
  <c r="J203" i="3"/>
  <c r="C50" i="55"/>
  <c r="J148" i="3"/>
  <c r="J271" i="3"/>
  <c r="C181" i="55"/>
  <c r="J179" i="3"/>
  <c r="J185" i="3"/>
  <c r="J207" i="3"/>
  <c r="C237" i="55"/>
  <c r="J242" i="3"/>
  <c r="C189" i="55"/>
  <c r="J223" i="3"/>
  <c r="J301" i="3"/>
  <c r="C73" i="55"/>
  <c r="C190" i="55"/>
  <c r="J264" i="3"/>
  <c r="J138" i="3"/>
  <c r="J191" i="3"/>
  <c r="J86" i="3"/>
  <c r="C42" i="55"/>
  <c r="C25" i="55"/>
  <c r="J172" i="3"/>
  <c r="J281" i="3"/>
  <c r="J40" i="3"/>
  <c r="J75" i="3"/>
  <c r="C251" i="55"/>
  <c r="J251" i="3"/>
  <c r="C31" i="55"/>
  <c r="J31" i="3"/>
  <c r="C144" i="55"/>
  <c r="J144" i="3"/>
  <c r="C63" i="55"/>
  <c r="J63" i="3"/>
  <c r="C34" i="55"/>
  <c r="J34" i="3"/>
  <c r="C66" i="55"/>
  <c r="J66" i="3"/>
  <c r="C236" i="55"/>
  <c r="J236" i="3"/>
  <c r="C285" i="55"/>
  <c r="J285" i="3"/>
  <c r="C197" i="55"/>
  <c r="J197" i="3"/>
  <c r="C160" i="55"/>
  <c r="J160" i="3"/>
  <c r="C241" i="55"/>
  <c r="J241" i="3"/>
  <c r="C279" i="55"/>
  <c r="J279" i="3"/>
  <c r="C199" i="55"/>
  <c r="J199" i="3"/>
  <c r="C194" i="55"/>
  <c r="J194" i="3"/>
  <c r="C156" i="55"/>
  <c r="J156" i="3"/>
  <c r="C176" i="55"/>
  <c r="J176" i="3"/>
  <c r="C268" i="55"/>
  <c r="J268" i="3"/>
  <c r="C132" i="55"/>
  <c r="J132" i="3"/>
  <c r="C82" i="55"/>
  <c r="J82" i="3"/>
  <c r="C252" i="55"/>
  <c r="J252" i="3"/>
  <c r="C287" i="55"/>
  <c r="J287" i="3"/>
  <c r="C151" i="55"/>
  <c r="J151" i="3"/>
  <c r="C261" i="55"/>
  <c r="J261" i="3"/>
  <c r="C177" i="55"/>
  <c r="J177" i="3"/>
  <c r="C289" i="55"/>
  <c r="J289" i="3"/>
  <c r="C165" i="55"/>
  <c r="J165" i="3"/>
  <c r="C57" i="55"/>
  <c r="J57" i="3"/>
  <c r="C101" i="55"/>
  <c r="J101" i="3"/>
  <c r="C263" i="55"/>
  <c r="J263" i="3"/>
  <c r="C209" i="55"/>
  <c r="J209" i="3"/>
  <c r="C184" i="55"/>
  <c r="J184" i="3"/>
  <c r="C257" i="55"/>
  <c r="J257" i="3"/>
  <c r="C26" i="55"/>
  <c r="J26" i="3"/>
  <c r="C188" i="55"/>
  <c r="J188" i="3"/>
  <c r="C300" i="55"/>
  <c r="J300" i="3"/>
  <c r="G8" i="45"/>
  <c r="G10" i="45" s="1"/>
  <c r="G16" i="45"/>
  <c r="B19" i="45"/>
  <c r="C173" i="55"/>
  <c r="J173" i="3"/>
  <c r="C141" i="55"/>
  <c r="J141" i="3"/>
  <c r="C59" i="55"/>
  <c r="J59" i="3"/>
  <c r="C299" i="55"/>
  <c r="J299" i="3"/>
  <c r="C297" i="55"/>
  <c r="J297" i="3"/>
  <c r="C44" i="55"/>
  <c r="J44" i="3"/>
  <c r="C290" i="55"/>
  <c r="J290" i="3"/>
  <c r="H23" i="59"/>
  <c r="J6" i="3"/>
  <c r="K46" i="3" s="1"/>
  <c r="L46" i="3" s="1"/>
  <c r="D46" i="55" s="1"/>
  <c r="C220" i="55"/>
  <c r="J220" i="3"/>
  <c r="C174" i="55"/>
  <c r="J174" i="3"/>
  <c r="C121" i="55"/>
  <c r="J121" i="3"/>
  <c r="C164" i="55"/>
  <c r="J164" i="3"/>
  <c r="C100" i="55"/>
  <c r="J100" i="3"/>
  <c r="C274" i="55"/>
  <c r="J274" i="3"/>
  <c r="C95" i="55"/>
  <c r="J95" i="3"/>
  <c r="C78" i="55"/>
  <c r="J78" i="3"/>
  <c r="C20" i="55"/>
  <c r="J20" i="3"/>
  <c r="C51" i="55"/>
  <c r="J51" i="3"/>
  <c r="C217" i="55"/>
  <c r="J217" i="3"/>
  <c r="C182" i="55"/>
  <c r="J182" i="3"/>
  <c r="C116" i="55"/>
  <c r="J116" i="3"/>
  <c r="C83" i="55"/>
  <c r="J83" i="3"/>
  <c r="C52" i="55"/>
  <c r="J52" i="3"/>
  <c r="C171" i="55"/>
  <c r="J171" i="3"/>
  <c r="C70" i="55"/>
  <c r="J70" i="3"/>
  <c r="C293" i="55"/>
  <c r="J293" i="3"/>
  <c r="C56" i="55"/>
  <c r="J56" i="3"/>
  <c r="C193" i="55"/>
  <c r="J193" i="3"/>
  <c r="C233" i="55"/>
  <c r="J233" i="3"/>
  <c r="C232" i="55"/>
  <c r="J232" i="3"/>
  <c r="C205" i="55"/>
  <c r="J205" i="3"/>
  <c r="C226" i="55"/>
  <c r="J226" i="3"/>
  <c r="C12" i="55"/>
  <c r="J12" i="3"/>
  <c r="C88" i="55"/>
  <c r="J88" i="3"/>
  <c r="C291" i="55"/>
  <c r="J291" i="3"/>
  <c r="C9" i="55"/>
  <c r="J9" i="3"/>
  <c r="C53" i="55"/>
  <c r="J53" i="3"/>
  <c r="C150" i="55"/>
  <c r="J150" i="3"/>
  <c r="C247" i="55"/>
  <c r="J247" i="3"/>
  <c r="C228" i="55"/>
  <c r="J228" i="3"/>
  <c r="C169" i="55"/>
  <c r="J169" i="3"/>
  <c r="C229" i="55"/>
  <c r="J229" i="3"/>
  <c r="C33" i="55"/>
  <c r="J33" i="3"/>
  <c r="C272" i="55"/>
  <c r="J272" i="3"/>
  <c r="C295" i="55"/>
  <c r="J295" i="3"/>
  <c r="C139" i="55"/>
  <c r="J139" i="3"/>
  <c r="C91" i="55"/>
  <c r="J91" i="3"/>
  <c r="C15" i="55"/>
  <c r="J15" i="3"/>
  <c r="C134" i="55"/>
  <c r="J134" i="3"/>
  <c r="C112" i="55"/>
  <c r="E6" i="57" s="1"/>
  <c r="H6" i="57" s="1"/>
  <c r="J112" i="3"/>
  <c r="C129" i="55"/>
  <c r="J129" i="3"/>
  <c r="C255" i="55"/>
  <c r="J255" i="3"/>
  <c r="C267" i="55"/>
  <c r="J267" i="3"/>
  <c r="C65" i="55"/>
  <c r="J65" i="3"/>
  <c r="C125" i="55"/>
  <c r="J125" i="3"/>
  <c r="C200" i="55"/>
  <c r="J200" i="3"/>
  <c r="C224" i="55"/>
  <c r="J224" i="3"/>
  <c r="C210" i="55"/>
  <c r="J210" i="3"/>
  <c r="C47" i="55"/>
  <c r="J47" i="3"/>
  <c r="C105" i="55"/>
  <c r="J105" i="3"/>
  <c r="C154" i="55"/>
  <c r="J154" i="3"/>
  <c r="C103" i="55"/>
  <c r="J103" i="3"/>
  <c r="C16" i="55"/>
  <c r="J16" i="3"/>
  <c r="C238" i="55"/>
  <c r="J238" i="3"/>
  <c r="C292" i="55"/>
  <c r="J292" i="3"/>
  <c r="C93" i="55"/>
  <c r="J93" i="3"/>
  <c r="C284" i="55"/>
  <c r="J284" i="3"/>
  <c r="C35" i="55"/>
  <c r="J35" i="3"/>
  <c r="C282" i="55"/>
  <c r="J282" i="3"/>
  <c r="C135" i="55"/>
  <c r="J135" i="3"/>
  <c r="C64" i="55"/>
  <c r="J64" i="3"/>
  <c r="C128" i="55"/>
  <c r="J128" i="3"/>
  <c r="C206" i="55"/>
  <c r="J206" i="3"/>
  <c r="C115" i="55"/>
  <c r="J115" i="3"/>
  <c r="C221" i="55"/>
  <c r="J221" i="3"/>
  <c r="C114" i="55"/>
  <c r="J114" i="3"/>
  <c r="C294" i="55"/>
  <c r="J294" i="3"/>
  <c r="C288" i="55"/>
  <c r="J288" i="3"/>
  <c r="C167" i="55"/>
  <c r="J167" i="3"/>
  <c r="C258" i="55"/>
  <c r="J258" i="3"/>
  <c r="C175" i="55"/>
  <c r="J175" i="3"/>
  <c r="C96" i="55"/>
  <c r="J96" i="3"/>
  <c r="C38" i="55"/>
  <c r="J38" i="3"/>
  <c r="C111" i="55"/>
  <c r="J111" i="3"/>
  <c r="C124" i="55"/>
  <c r="J124" i="3"/>
  <c r="C61" i="55"/>
  <c r="J61" i="3"/>
  <c r="C13" i="55"/>
  <c r="J13" i="3"/>
  <c r="C54" i="55"/>
  <c r="J54" i="3"/>
  <c r="C19" i="55"/>
  <c r="J19" i="3"/>
  <c r="C143" i="55"/>
  <c r="J143" i="3"/>
  <c r="C216" i="55"/>
  <c r="J216" i="3"/>
  <c r="C49" i="55"/>
  <c r="J49" i="3"/>
  <c r="C146" i="55"/>
  <c r="J146" i="3"/>
  <c r="C117" i="55"/>
  <c r="J117" i="3"/>
  <c r="C227" i="55"/>
  <c r="J227" i="3"/>
  <c r="C119" i="55"/>
  <c r="J119" i="3"/>
  <c r="C62" i="55"/>
  <c r="J62" i="3"/>
  <c r="C235" i="55"/>
  <c r="J235" i="3"/>
  <c r="C213" i="55"/>
  <c r="J213" i="3"/>
  <c r="C23" i="55"/>
  <c r="J23" i="3"/>
  <c r="C123" i="55"/>
  <c r="J123" i="3"/>
  <c r="C8" i="55"/>
  <c r="H302" i="3"/>
  <c r="H6" i="3" s="1"/>
  <c r="J8" i="3"/>
  <c r="C183" i="55"/>
  <c r="J183" i="3"/>
  <c r="C11" i="55"/>
  <c r="J11" i="3"/>
  <c r="C259" i="55"/>
  <c r="J259" i="3"/>
  <c r="C126" i="55"/>
  <c r="J126" i="3"/>
  <c r="C48" i="55"/>
  <c r="J48" i="3"/>
  <c r="C265" i="55"/>
  <c r="J265" i="3"/>
  <c r="C286" i="55"/>
  <c r="J286" i="3"/>
  <c r="C118" i="55"/>
  <c r="J118" i="3"/>
  <c r="C90" i="55"/>
  <c r="J90" i="3"/>
  <c r="C296" i="55"/>
  <c r="J296" i="3"/>
  <c r="C74" i="55"/>
  <c r="J74" i="3"/>
  <c r="C106" i="55"/>
  <c r="J106" i="3"/>
  <c r="C186" i="55"/>
  <c r="J186" i="3"/>
  <c r="C269" i="55"/>
  <c r="J269" i="3"/>
  <c r="C222" i="55"/>
  <c r="J222" i="3"/>
  <c r="C92" i="55"/>
  <c r="J92" i="3"/>
  <c r="C153" i="55"/>
  <c r="J153" i="3"/>
  <c r="C97" i="55"/>
  <c r="J97" i="3"/>
  <c r="C18" i="55"/>
  <c r="J18" i="3"/>
  <c r="C273" i="55"/>
  <c r="J273" i="3"/>
  <c r="C298" i="55"/>
  <c r="J298" i="3"/>
  <c r="C43" i="55"/>
  <c r="J43" i="3"/>
  <c r="C140" i="55"/>
  <c r="J140" i="3"/>
  <c r="C60" i="55"/>
  <c r="J60" i="3"/>
  <c r="C45" i="55"/>
  <c r="J45" i="3"/>
  <c r="C79" i="55"/>
  <c r="J79" i="3"/>
  <c r="C248" i="55"/>
  <c r="J248" i="3"/>
  <c r="C113" i="55"/>
  <c r="J113" i="3"/>
  <c r="C249" i="55"/>
  <c r="J249" i="3"/>
  <c r="C145" i="55"/>
  <c r="J145" i="3"/>
  <c r="C71" i="55"/>
  <c r="J71" i="3"/>
  <c r="C262" i="55"/>
  <c r="J262" i="3"/>
  <c r="C22" i="55"/>
  <c r="J22" i="3"/>
  <c r="C187" i="55"/>
  <c r="J187" i="3"/>
  <c r="C81" i="55"/>
  <c r="J81" i="3"/>
  <c r="C130" i="55"/>
  <c r="J130" i="3"/>
  <c r="C208" i="55"/>
  <c r="J208" i="3"/>
  <c r="C230" i="55"/>
  <c r="J230" i="3"/>
  <c r="C260" i="55"/>
  <c r="J260" i="3"/>
  <c r="C244" i="55"/>
  <c r="J244" i="3"/>
  <c r="C240" i="55"/>
  <c r="J240" i="3"/>
  <c r="C250" i="55"/>
  <c r="J250" i="3"/>
  <c r="C278" i="55"/>
  <c r="J278" i="3"/>
  <c r="C147" i="55"/>
  <c r="J147" i="3"/>
  <c r="C245" i="55"/>
  <c r="J245" i="3"/>
  <c r="C168" i="55"/>
  <c r="J168" i="3"/>
  <c r="C30" i="55"/>
  <c r="J30" i="3"/>
  <c r="C136" i="55"/>
  <c r="J136" i="3"/>
  <c r="C180" i="55"/>
  <c r="J180" i="3"/>
  <c r="C243" i="55"/>
  <c r="J243" i="3"/>
  <c r="C275" i="55"/>
  <c r="J275" i="3"/>
  <c r="C10" i="55"/>
  <c r="J10" i="3"/>
  <c r="C157" i="55"/>
  <c r="J157" i="3"/>
  <c r="C234" i="55"/>
  <c r="J234" i="3"/>
  <c r="C77" i="55"/>
  <c r="J77" i="3"/>
  <c r="C198" i="55"/>
  <c r="J198" i="3"/>
  <c r="C24" i="55"/>
  <c r="J24" i="3"/>
  <c r="C120" i="55"/>
  <c r="J120" i="3"/>
  <c r="C166" i="55"/>
  <c r="J166" i="3"/>
  <c r="C39" i="55"/>
  <c r="J39" i="3"/>
  <c r="C87" i="55"/>
  <c r="J87" i="3"/>
  <c r="C178" i="55"/>
  <c r="J178" i="3"/>
  <c r="C69" i="55"/>
  <c r="J69" i="3"/>
  <c r="C159" i="55"/>
  <c r="J159" i="3"/>
  <c r="C84" i="55"/>
  <c r="J84" i="3"/>
  <c r="C104" i="55"/>
  <c r="J104" i="3"/>
  <c r="C76" i="55"/>
  <c r="J76" i="3"/>
  <c r="C133" i="55"/>
  <c r="J133" i="3"/>
  <c r="C32" i="55"/>
  <c r="J32" i="3"/>
  <c r="C276" i="55"/>
  <c r="J276" i="3"/>
  <c r="C137" i="55"/>
  <c r="J137" i="3"/>
  <c r="C67" i="55"/>
  <c r="J67" i="3"/>
  <c r="C131" i="55"/>
  <c r="J131" i="3"/>
  <c r="C98" i="55"/>
  <c r="J98" i="3"/>
  <c r="C212" i="55"/>
  <c r="J212" i="3"/>
  <c r="C55" i="55"/>
  <c r="J55" i="3"/>
  <c r="C107" i="55"/>
  <c r="J107" i="3"/>
  <c r="C202" i="55"/>
  <c r="J202" i="3"/>
  <c r="C149" i="55"/>
  <c r="J149" i="3"/>
  <c r="C85" i="55"/>
  <c r="J85" i="3"/>
  <c r="C270" i="55"/>
  <c r="J270" i="3"/>
  <c r="C218" i="55"/>
  <c r="J218" i="3"/>
  <c r="C225" i="55"/>
  <c r="J225" i="3"/>
  <c r="C231" i="55"/>
  <c r="J231" i="3"/>
  <c r="C155" i="55"/>
  <c r="J155" i="3"/>
  <c r="C127" i="55"/>
  <c r="J127" i="3"/>
  <c r="C29" i="55"/>
  <c r="J29" i="3"/>
  <c r="C94" i="55"/>
  <c r="J94" i="3"/>
  <c r="C109" i="55"/>
  <c r="J109" i="3"/>
  <c r="C253" i="55"/>
  <c r="J253" i="3"/>
  <c r="C201" i="55"/>
  <c r="J201" i="3"/>
  <c r="C17" i="55"/>
  <c r="J17" i="3"/>
  <c r="C214" i="55"/>
  <c r="J214" i="3"/>
  <c r="C163" i="55"/>
  <c r="J163" i="3"/>
  <c r="C246" i="55"/>
  <c r="J246" i="3"/>
  <c r="C27" i="55"/>
  <c r="J27" i="3"/>
  <c r="K43" i="3" l="1"/>
  <c r="L43" i="3" s="1"/>
  <c r="D43" i="55" s="1"/>
  <c r="K269" i="3"/>
  <c r="L269" i="3" s="1"/>
  <c r="D269" i="55" s="1"/>
  <c r="F269" i="55" s="1"/>
  <c r="P269" i="55" s="1"/>
  <c r="K97" i="3"/>
  <c r="L97" i="3" s="1"/>
  <c r="D97" i="55" s="1"/>
  <c r="F46" i="55"/>
  <c r="P46" i="55" s="1"/>
  <c r="K149" i="3"/>
  <c r="L149" i="3" s="1"/>
  <c r="D149" i="55" s="1"/>
  <c r="F149" i="55" s="1"/>
  <c r="P149" i="55" s="1"/>
  <c r="K137" i="3"/>
  <c r="L137" i="3" s="1"/>
  <c r="D137" i="55" s="1"/>
  <c r="F137" i="55" s="1"/>
  <c r="P137" i="55" s="1"/>
  <c r="K225" i="3"/>
  <c r="L225" i="3" s="1"/>
  <c r="D225" i="55" s="1"/>
  <c r="F225" i="55" s="1"/>
  <c r="P225" i="55" s="1"/>
  <c r="K76" i="3"/>
  <c r="L76" i="3" s="1"/>
  <c r="D76" i="55" s="1"/>
  <c r="F76" i="55" s="1"/>
  <c r="P76" i="55" s="1"/>
  <c r="K117" i="3"/>
  <c r="L117" i="3" s="1"/>
  <c r="D117" i="55" s="1"/>
  <c r="F117" i="55" s="1"/>
  <c r="P117" i="55" s="1"/>
  <c r="K216" i="3"/>
  <c r="L216" i="3" s="1"/>
  <c r="D216" i="55" s="1"/>
  <c r="F216" i="55" s="1"/>
  <c r="P216" i="55" s="1"/>
  <c r="K170" i="3"/>
  <c r="L170" i="3" s="1"/>
  <c r="D170" i="55" s="1"/>
  <c r="F170" i="55" s="1"/>
  <c r="P170" i="55" s="1"/>
  <c r="K131" i="3"/>
  <c r="L131" i="3" s="1"/>
  <c r="D131" i="55" s="1"/>
  <c r="F131" i="55" s="1"/>
  <c r="P131" i="55" s="1"/>
  <c r="K32" i="3"/>
  <c r="L32" i="3" s="1"/>
  <c r="D32" i="55" s="1"/>
  <c r="F32" i="55" s="1"/>
  <c r="P32" i="55" s="1"/>
  <c r="K84" i="3"/>
  <c r="L84" i="3" s="1"/>
  <c r="D84" i="55" s="1"/>
  <c r="F84" i="55" s="1"/>
  <c r="P84" i="55" s="1"/>
  <c r="K208" i="3"/>
  <c r="L208" i="3" s="1"/>
  <c r="D208" i="55" s="1"/>
  <c r="F208" i="55" s="1"/>
  <c r="P208" i="55" s="1"/>
  <c r="K11" i="3"/>
  <c r="L11" i="3" s="1"/>
  <c r="D11" i="55" s="1"/>
  <c r="F11" i="55" s="1"/>
  <c r="P11" i="55" s="1"/>
  <c r="K41" i="3"/>
  <c r="L41" i="3" s="1"/>
  <c r="D41" i="55" s="1"/>
  <c r="F41" i="55" s="1"/>
  <c r="P41" i="55" s="1"/>
  <c r="K55" i="3"/>
  <c r="L55" i="3" s="1"/>
  <c r="D55" i="55" s="1"/>
  <c r="F55" i="55" s="1"/>
  <c r="P55" i="55" s="1"/>
  <c r="K136" i="3"/>
  <c r="L136" i="3" s="1"/>
  <c r="D136" i="55" s="1"/>
  <c r="F136" i="55" s="1"/>
  <c r="P136" i="55" s="1"/>
  <c r="K147" i="3"/>
  <c r="L147" i="3" s="1"/>
  <c r="D147" i="55" s="1"/>
  <c r="K56" i="3"/>
  <c r="L56" i="3" s="1"/>
  <c r="D56" i="55" s="1"/>
  <c r="F56" i="55" s="1"/>
  <c r="P56" i="55" s="1"/>
  <c r="K108" i="3"/>
  <c r="L108" i="3" s="1"/>
  <c r="D108" i="55" s="1"/>
  <c r="F108" i="55" s="1"/>
  <c r="P108" i="55" s="1"/>
  <c r="K267" i="3"/>
  <c r="L267" i="3" s="1"/>
  <c r="D267" i="55" s="1"/>
  <c r="F267" i="55" s="1"/>
  <c r="P267" i="55" s="1"/>
  <c r="K215" i="3"/>
  <c r="L215" i="3" s="1"/>
  <c r="D215" i="55" s="1"/>
  <c r="F215" i="55" s="1"/>
  <c r="P215" i="55" s="1"/>
  <c r="K87" i="3"/>
  <c r="L87" i="3" s="1"/>
  <c r="D87" i="55" s="1"/>
  <c r="F87" i="55" s="1"/>
  <c r="P87" i="55" s="1"/>
  <c r="K157" i="3"/>
  <c r="L157" i="3" s="1"/>
  <c r="D157" i="55" s="1"/>
  <c r="F157" i="55" s="1"/>
  <c r="P157" i="55" s="1"/>
  <c r="K275" i="3"/>
  <c r="L275" i="3" s="1"/>
  <c r="D275" i="55" s="1"/>
  <c r="F275" i="55" s="1"/>
  <c r="P275" i="55" s="1"/>
  <c r="K22" i="3"/>
  <c r="L22" i="3" s="1"/>
  <c r="D22" i="55" s="1"/>
  <c r="F22" i="55" s="1"/>
  <c r="P22" i="55" s="1"/>
  <c r="K249" i="3"/>
  <c r="L249" i="3" s="1"/>
  <c r="D249" i="55" s="1"/>
  <c r="F249" i="55" s="1"/>
  <c r="P249" i="55" s="1"/>
  <c r="K161" i="3"/>
  <c r="L161" i="3" s="1"/>
  <c r="D161" i="55" s="1"/>
  <c r="F161" i="55" s="1"/>
  <c r="P161" i="55" s="1"/>
  <c r="K162" i="3"/>
  <c r="L162" i="3" s="1"/>
  <c r="D162" i="55" s="1"/>
  <c r="F162" i="55" s="1"/>
  <c r="P162" i="55" s="1"/>
  <c r="K286" i="3"/>
  <c r="L286" i="3" s="1"/>
  <c r="D286" i="55" s="1"/>
  <c r="F286" i="55" s="1"/>
  <c r="P286" i="55" s="1"/>
  <c r="K126" i="3"/>
  <c r="L126" i="3" s="1"/>
  <c r="D126" i="55" s="1"/>
  <c r="F126" i="55" s="1"/>
  <c r="P126" i="55" s="1"/>
  <c r="K23" i="3"/>
  <c r="L23" i="3" s="1"/>
  <c r="D23" i="55" s="1"/>
  <c r="F23" i="55" s="1"/>
  <c r="P23" i="55" s="1"/>
  <c r="K62" i="3"/>
  <c r="L62" i="3" s="1"/>
  <c r="D62" i="55" s="1"/>
  <c r="F62" i="55" s="1"/>
  <c r="P62" i="55" s="1"/>
  <c r="K237" i="3"/>
  <c r="L237" i="3" s="1"/>
  <c r="D237" i="55" s="1"/>
  <c r="F237" i="55" s="1"/>
  <c r="P237" i="55" s="1"/>
  <c r="K124" i="3"/>
  <c r="L124" i="3" s="1"/>
  <c r="D124" i="55" s="1"/>
  <c r="F124" i="55" s="1"/>
  <c r="P124" i="55" s="1"/>
  <c r="K288" i="3"/>
  <c r="L288" i="3" s="1"/>
  <c r="D288" i="55" s="1"/>
  <c r="F288" i="55" s="1"/>
  <c r="P288" i="55" s="1"/>
  <c r="K115" i="3"/>
  <c r="L115" i="3" s="1"/>
  <c r="D115" i="55" s="1"/>
  <c r="F115" i="55" s="1"/>
  <c r="P115" i="55" s="1"/>
  <c r="K284" i="3"/>
  <c r="L284" i="3" s="1"/>
  <c r="D284" i="55" s="1"/>
  <c r="F284" i="55" s="1"/>
  <c r="P284" i="55" s="1"/>
  <c r="K200" i="3"/>
  <c r="L200" i="3" s="1"/>
  <c r="D200" i="55" s="1"/>
  <c r="F200" i="55" s="1"/>
  <c r="P200" i="55" s="1"/>
  <c r="K52" i="3"/>
  <c r="L52" i="3" s="1"/>
  <c r="D52" i="55" s="1"/>
  <c r="F52" i="55" s="1"/>
  <c r="P52" i="55" s="1"/>
  <c r="K277" i="3"/>
  <c r="L277" i="3" s="1"/>
  <c r="D277" i="55" s="1"/>
  <c r="F277" i="55" s="1"/>
  <c r="P277" i="55" s="1"/>
  <c r="K17" i="3"/>
  <c r="L17" i="3" s="1"/>
  <c r="D17" i="55" s="1"/>
  <c r="F17" i="55" s="1"/>
  <c r="P17" i="55" s="1"/>
  <c r="K155" i="3"/>
  <c r="L155" i="3" s="1"/>
  <c r="D155" i="55" s="1"/>
  <c r="F155" i="55" s="1"/>
  <c r="P155" i="55" s="1"/>
  <c r="K190" i="3"/>
  <c r="L190" i="3" s="1"/>
  <c r="D190" i="55" s="1"/>
  <c r="F190" i="55" s="1"/>
  <c r="P190" i="55" s="1"/>
  <c r="K218" i="3"/>
  <c r="L218" i="3" s="1"/>
  <c r="D218" i="55" s="1"/>
  <c r="F218" i="55" s="1"/>
  <c r="P218" i="55" s="1"/>
  <c r="K280" i="3"/>
  <c r="L280" i="3" s="1"/>
  <c r="D280" i="55" s="1"/>
  <c r="F280" i="55" s="1"/>
  <c r="P280" i="55" s="1"/>
  <c r="K212" i="3"/>
  <c r="L212" i="3" s="1"/>
  <c r="D212" i="55" s="1"/>
  <c r="F212" i="55" s="1"/>
  <c r="P212" i="55" s="1"/>
  <c r="K67" i="3"/>
  <c r="L67" i="3" s="1"/>
  <c r="D67" i="55" s="1"/>
  <c r="F67" i="55" s="1"/>
  <c r="P67" i="55" s="1"/>
  <c r="K133" i="3"/>
  <c r="L133" i="3" s="1"/>
  <c r="D133" i="55" s="1"/>
  <c r="F133" i="55" s="1"/>
  <c r="P133" i="55" s="1"/>
  <c r="K159" i="3"/>
  <c r="L159" i="3" s="1"/>
  <c r="D159" i="55" s="1"/>
  <c r="F159" i="55" s="1"/>
  <c r="P159" i="55" s="1"/>
  <c r="K30" i="3"/>
  <c r="L30" i="3" s="1"/>
  <c r="D30" i="55" s="1"/>
  <c r="F30" i="55" s="1"/>
  <c r="P30" i="55" s="1"/>
  <c r="K278" i="3"/>
  <c r="L278" i="3" s="1"/>
  <c r="D278" i="55" s="1"/>
  <c r="F278" i="55" s="1"/>
  <c r="P278" i="55" s="1"/>
  <c r="K244" i="3"/>
  <c r="L244" i="3" s="1"/>
  <c r="D244" i="55" s="1"/>
  <c r="F244" i="55" s="1"/>
  <c r="P244" i="55" s="1"/>
  <c r="K130" i="3"/>
  <c r="L130" i="3" s="1"/>
  <c r="D130" i="55" s="1"/>
  <c r="F130" i="55" s="1"/>
  <c r="P130" i="55" s="1"/>
  <c r="K45" i="3"/>
  <c r="L45" i="3" s="1"/>
  <c r="D45" i="55" s="1"/>
  <c r="F45" i="55" s="1"/>
  <c r="P45" i="55" s="1"/>
  <c r="K298" i="3"/>
  <c r="L298" i="3" s="1"/>
  <c r="D298" i="55" s="1"/>
  <c r="F298" i="55" s="1"/>
  <c r="P298" i="55" s="1"/>
  <c r="K153" i="3"/>
  <c r="L153" i="3" s="1"/>
  <c r="D153" i="55" s="1"/>
  <c r="F153" i="55" s="1"/>
  <c r="P153" i="55" s="1"/>
  <c r="K186" i="3"/>
  <c r="L186" i="3" s="1"/>
  <c r="D186" i="55" s="1"/>
  <c r="F186" i="55" s="1"/>
  <c r="P186" i="55" s="1"/>
  <c r="K283" i="3"/>
  <c r="L283" i="3" s="1"/>
  <c r="D283" i="55" s="1"/>
  <c r="F283" i="55" s="1"/>
  <c r="P283" i="55" s="1"/>
  <c r="K183" i="3"/>
  <c r="L183" i="3" s="1"/>
  <c r="D183" i="55" s="1"/>
  <c r="F183" i="55" s="1"/>
  <c r="P183" i="55" s="1"/>
  <c r="K102" i="3"/>
  <c r="L102" i="3" s="1"/>
  <c r="D102" i="55" s="1"/>
  <c r="F102" i="55" s="1"/>
  <c r="P102" i="55" s="1"/>
  <c r="K254" i="3"/>
  <c r="L254" i="3" s="1"/>
  <c r="D254" i="55" s="1"/>
  <c r="F254" i="55" s="1"/>
  <c r="P254" i="55" s="1"/>
  <c r="K135" i="3"/>
  <c r="L135" i="3" s="1"/>
  <c r="D135" i="55" s="1"/>
  <c r="F135" i="55" s="1"/>
  <c r="P135" i="55" s="1"/>
  <c r="K255" i="3"/>
  <c r="L255" i="3" s="1"/>
  <c r="D255" i="55" s="1"/>
  <c r="F255" i="55" s="1"/>
  <c r="P255" i="55" s="1"/>
  <c r="K88" i="3"/>
  <c r="L88" i="3" s="1"/>
  <c r="D88" i="55" s="1"/>
  <c r="F88" i="55" s="1"/>
  <c r="P88" i="55" s="1"/>
  <c r="K232" i="3"/>
  <c r="L232" i="3" s="1"/>
  <c r="D232" i="55" s="1"/>
  <c r="F232" i="55" s="1"/>
  <c r="P232" i="55" s="1"/>
  <c r="K293" i="3"/>
  <c r="L293" i="3" s="1"/>
  <c r="D293" i="55" s="1"/>
  <c r="F293" i="55" s="1"/>
  <c r="P293" i="55" s="1"/>
  <c r="K246" i="3"/>
  <c r="L246" i="3" s="1"/>
  <c r="D246" i="55" s="1"/>
  <c r="F246" i="55" s="1"/>
  <c r="P246" i="55" s="1"/>
  <c r="K24" i="3"/>
  <c r="L24" i="3" s="1"/>
  <c r="D24" i="55" s="1"/>
  <c r="F24" i="55" s="1"/>
  <c r="P24" i="55" s="1"/>
  <c r="K163" i="3"/>
  <c r="L163" i="3" s="1"/>
  <c r="D163" i="55" s="1"/>
  <c r="F163" i="55" s="1"/>
  <c r="P163" i="55" s="1"/>
  <c r="K201" i="3"/>
  <c r="L201" i="3" s="1"/>
  <c r="D201" i="55" s="1"/>
  <c r="F201" i="55" s="1"/>
  <c r="P201" i="55" s="1"/>
  <c r="K94" i="3"/>
  <c r="L94" i="3" s="1"/>
  <c r="D94" i="55" s="1"/>
  <c r="F94" i="55" s="1"/>
  <c r="P94" i="55" s="1"/>
  <c r="K203" i="3"/>
  <c r="L203" i="3" s="1"/>
  <c r="D203" i="55" s="1"/>
  <c r="F203" i="55" s="1"/>
  <c r="P203" i="55" s="1"/>
  <c r="K89" i="3"/>
  <c r="L89" i="3" s="1"/>
  <c r="D89" i="55" s="1"/>
  <c r="F89" i="55" s="1"/>
  <c r="P89" i="55" s="1"/>
  <c r="K39" i="3"/>
  <c r="L39" i="3" s="1"/>
  <c r="D39" i="55" s="1"/>
  <c r="F39" i="55" s="1"/>
  <c r="P39" i="55" s="1"/>
  <c r="K198" i="3"/>
  <c r="L198" i="3" s="1"/>
  <c r="D198" i="55" s="1"/>
  <c r="F198" i="55" s="1"/>
  <c r="P198" i="55" s="1"/>
  <c r="K239" i="3"/>
  <c r="L239" i="3" s="1"/>
  <c r="D239" i="55" s="1"/>
  <c r="F239" i="55" s="1"/>
  <c r="P239" i="55" s="1"/>
  <c r="K243" i="3"/>
  <c r="L243" i="3" s="1"/>
  <c r="D243" i="55" s="1"/>
  <c r="F243" i="55" s="1"/>
  <c r="P243" i="55" s="1"/>
  <c r="K262" i="3"/>
  <c r="L262" i="3" s="1"/>
  <c r="D262" i="55" s="1"/>
  <c r="F262" i="55" s="1"/>
  <c r="P262" i="55" s="1"/>
  <c r="K113" i="3"/>
  <c r="L113" i="3" s="1"/>
  <c r="D113" i="55" s="1"/>
  <c r="F113" i="55" s="1"/>
  <c r="P113" i="55" s="1"/>
  <c r="K296" i="3"/>
  <c r="L296" i="3" s="1"/>
  <c r="D296" i="55" s="1"/>
  <c r="F296" i="55" s="1"/>
  <c r="P296" i="55" s="1"/>
  <c r="K271" i="3"/>
  <c r="L271" i="3" s="1"/>
  <c r="D271" i="55" s="1"/>
  <c r="F271" i="55" s="1"/>
  <c r="P271" i="55" s="1"/>
  <c r="K259" i="3"/>
  <c r="L259" i="3" s="1"/>
  <c r="D259" i="55" s="1"/>
  <c r="F259" i="55" s="1"/>
  <c r="P259" i="55" s="1"/>
  <c r="K213" i="3"/>
  <c r="L213" i="3" s="1"/>
  <c r="D213" i="55" s="1"/>
  <c r="F213" i="55" s="1"/>
  <c r="P213" i="55" s="1"/>
  <c r="K119" i="3"/>
  <c r="L119" i="3" s="1"/>
  <c r="D119" i="55" s="1"/>
  <c r="F119" i="55" s="1"/>
  <c r="P119" i="55" s="1"/>
  <c r="K143" i="3"/>
  <c r="L143" i="3" s="1"/>
  <c r="D143" i="55" s="1"/>
  <c r="F143" i="55" s="1"/>
  <c r="P143" i="55" s="1"/>
  <c r="K75" i="3"/>
  <c r="L75" i="3" s="1"/>
  <c r="D75" i="55" s="1"/>
  <c r="F75" i="55" s="1"/>
  <c r="P75" i="55" s="1"/>
  <c r="K111" i="3"/>
  <c r="L111" i="3" s="1"/>
  <c r="D111" i="55" s="1"/>
  <c r="F111" i="55" s="1"/>
  <c r="P111" i="55" s="1"/>
  <c r="K175" i="3"/>
  <c r="L175" i="3" s="1"/>
  <c r="D175" i="55" s="1"/>
  <c r="F175" i="55" s="1"/>
  <c r="P175" i="55" s="1"/>
  <c r="K294" i="3"/>
  <c r="L294" i="3" s="1"/>
  <c r="D294" i="55" s="1"/>
  <c r="F294" i="55" s="1"/>
  <c r="P294" i="55" s="1"/>
  <c r="K206" i="3"/>
  <c r="L206" i="3" s="1"/>
  <c r="D206" i="55" s="1"/>
  <c r="F206" i="55" s="1"/>
  <c r="P206" i="55" s="1"/>
  <c r="K93" i="3"/>
  <c r="L93" i="3" s="1"/>
  <c r="D93" i="55" s="1"/>
  <c r="F93" i="55" s="1"/>
  <c r="P93" i="55" s="1"/>
  <c r="K125" i="3"/>
  <c r="L125" i="3" s="1"/>
  <c r="D125" i="55" s="1"/>
  <c r="F125" i="55" s="1"/>
  <c r="P125" i="55" s="1"/>
  <c r="K270" i="3"/>
  <c r="L270" i="3" s="1"/>
  <c r="D270" i="55" s="1"/>
  <c r="F270" i="55" s="1"/>
  <c r="P270" i="55" s="1"/>
  <c r="K202" i="3"/>
  <c r="L202" i="3" s="1"/>
  <c r="D202" i="55" s="1"/>
  <c r="F202" i="55" s="1"/>
  <c r="P202" i="55" s="1"/>
  <c r="K98" i="3"/>
  <c r="L98" i="3" s="1"/>
  <c r="D98" i="55" s="1"/>
  <c r="F98" i="55" s="1"/>
  <c r="P98" i="55" s="1"/>
  <c r="K152" i="3"/>
  <c r="L152" i="3" s="1"/>
  <c r="D152" i="55" s="1"/>
  <c r="F152" i="55" s="1"/>
  <c r="P152" i="55" s="1"/>
  <c r="K179" i="3"/>
  <c r="L179" i="3" s="1"/>
  <c r="D179" i="55" s="1"/>
  <c r="F179" i="55" s="1"/>
  <c r="P179" i="55" s="1"/>
  <c r="K250" i="3"/>
  <c r="L250" i="3" s="1"/>
  <c r="D250" i="55" s="1"/>
  <c r="F250" i="55" s="1"/>
  <c r="P250" i="55" s="1"/>
  <c r="K60" i="3"/>
  <c r="L60" i="3" s="1"/>
  <c r="D60" i="55" s="1"/>
  <c r="F60" i="55" s="1"/>
  <c r="P60" i="55" s="1"/>
  <c r="K273" i="3"/>
  <c r="L273" i="3" s="1"/>
  <c r="D273" i="55" s="1"/>
  <c r="F273" i="55" s="1"/>
  <c r="P273" i="55" s="1"/>
  <c r="K92" i="3"/>
  <c r="L92" i="3" s="1"/>
  <c r="D92" i="55" s="1"/>
  <c r="F92" i="55" s="1"/>
  <c r="P92" i="55" s="1"/>
  <c r="K106" i="3"/>
  <c r="L106" i="3" s="1"/>
  <c r="D106" i="55" s="1"/>
  <c r="F106" i="55" s="1"/>
  <c r="P106" i="55" s="1"/>
  <c r="K219" i="3"/>
  <c r="L219" i="3" s="1"/>
  <c r="D219" i="55" s="1"/>
  <c r="F219" i="55" s="1"/>
  <c r="P219" i="55" s="1"/>
  <c r="K146" i="3"/>
  <c r="L146" i="3" s="1"/>
  <c r="D146" i="55" s="1"/>
  <c r="F146" i="55" s="1"/>
  <c r="P146" i="55" s="1"/>
  <c r="K185" i="3"/>
  <c r="L185" i="3" s="1"/>
  <c r="D185" i="55" s="1"/>
  <c r="F185" i="55" s="1"/>
  <c r="P185" i="55" s="1"/>
  <c r="K282" i="3"/>
  <c r="L282" i="3" s="1"/>
  <c r="D282" i="55" s="1"/>
  <c r="F282" i="55" s="1"/>
  <c r="P282" i="55" s="1"/>
  <c r="K103" i="3"/>
  <c r="L103" i="3" s="1"/>
  <c r="D103" i="55" s="1"/>
  <c r="F103" i="55" s="1"/>
  <c r="P103" i="55" s="1"/>
  <c r="K210" i="3"/>
  <c r="L210" i="3" s="1"/>
  <c r="D210" i="55" s="1"/>
  <c r="F210" i="55" s="1"/>
  <c r="P210" i="55" s="1"/>
  <c r="K53" i="3"/>
  <c r="L53" i="3" s="1"/>
  <c r="D53" i="55" s="1"/>
  <c r="F53" i="55" s="1"/>
  <c r="P53" i="55" s="1"/>
  <c r="K12" i="3"/>
  <c r="L12" i="3" s="1"/>
  <c r="D12" i="55" s="1"/>
  <c r="F12" i="55" s="1"/>
  <c r="P12" i="55" s="1"/>
  <c r="K233" i="3"/>
  <c r="L233" i="3" s="1"/>
  <c r="D233" i="55" s="1"/>
  <c r="F233" i="55" s="1"/>
  <c r="P233" i="55" s="1"/>
  <c r="K81" i="3"/>
  <c r="L81" i="3" s="1"/>
  <c r="D81" i="55" s="1"/>
  <c r="F81" i="55" s="1"/>
  <c r="P81" i="55" s="1"/>
  <c r="K253" i="3"/>
  <c r="L253" i="3" s="1"/>
  <c r="D253" i="55" s="1"/>
  <c r="F253" i="55" s="1"/>
  <c r="P253" i="55" s="1"/>
  <c r="K69" i="3"/>
  <c r="L69" i="3" s="1"/>
  <c r="D69" i="55" s="1"/>
  <c r="F69" i="55" s="1"/>
  <c r="P69" i="55" s="1"/>
  <c r="K166" i="3"/>
  <c r="L166" i="3" s="1"/>
  <c r="D166" i="55" s="1"/>
  <c r="F166" i="55" s="1"/>
  <c r="P166" i="55" s="1"/>
  <c r="K77" i="3"/>
  <c r="L77" i="3" s="1"/>
  <c r="D77" i="55" s="1"/>
  <c r="F77" i="55" s="1"/>
  <c r="P77" i="55" s="1"/>
  <c r="K86" i="3"/>
  <c r="L86" i="3" s="1"/>
  <c r="D86" i="55" s="1"/>
  <c r="F86" i="55" s="1"/>
  <c r="P86" i="55" s="1"/>
  <c r="K180" i="3"/>
  <c r="L180" i="3" s="1"/>
  <c r="D180" i="55" s="1"/>
  <c r="F180" i="55" s="1"/>
  <c r="P180" i="55" s="1"/>
  <c r="K71" i="3"/>
  <c r="L71" i="3" s="1"/>
  <c r="D71" i="55" s="1"/>
  <c r="F71" i="55" s="1"/>
  <c r="P71" i="55" s="1"/>
  <c r="K248" i="3"/>
  <c r="L248" i="3" s="1"/>
  <c r="D248" i="55" s="1"/>
  <c r="F248" i="55" s="1"/>
  <c r="P248" i="55" s="1"/>
  <c r="K90" i="3"/>
  <c r="L90" i="3" s="1"/>
  <c r="D90" i="55" s="1"/>
  <c r="F90" i="55" s="1"/>
  <c r="P90" i="55" s="1"/>
  <c r="K265" i="3"/>
  <c r="L265" i="3" s="1"/>
  <c r="D265" i="55" s="1"/>
  <c r="F265" i="55" s="1"/>
  <c r="P265" i="55" s="1"/>
  <c r="K68" i="3"/>
  <c r="L68" i="3" s="1"/>
  <c r="D68" i="55" s="1"/>
  <c r="F68" i="55" s="1"/>
  <c r="P68" i="55" s="1"/>
  <c r="K25" i="3"/>
  <c r="L25" i="3" s="1"/>
  <c r="D25" i="55" s="1"/>
  <c r="F25" i="55" s="1"/>
  <c r="P25" i="55" s="1"/>
  <c r="K122" i="3"/>
  <c r="L122" i="3" s="1"/>
  <c r="D122" i="55" s="1"/>
  <c r="F122" i="55" s="1"/>
  <c r="P122" i="55" s="1"/>
  <c r="K19" i="3"/>
  <c r="L19" i="3" s="1"/>
  <c r="D19" i="55" s="1"/>
  <c r="F19" i="55" s="1"/>
  <c r="P19" i="55" s="1"/>
  <c r="K13" i="3"/>
  <c r="L13" i="3" s="1"/>
  <c r="D13" i="55" s="1"/>
  <c r="F13" i="55" s="1"/>
  <c r="P13" i="55" s="1"/>
  <c r="K38" i="3"/>
  <c r="L38" i="3" s="1"/>
  <c r="D38" i="55" s="1"/>
  <c r="F38" i="55" s="1"/>
  <c r="P38" i="55" s="1"/>
  <c r="K258" i="3"/>
  <c r="L258" i="3" s="1"/>
  <c r="D258" i="55" s="1"/>
  <c r="F258" i="55" s="1"/>
  <c r="P258" i="55" s="1"/>
  <c r="K114" i="3"/>
  <c r="L114" i="3" s="1"/>
  <c r="D114" i="55" s="1"/>
  <c r="F114" i="55" s="1"/>
  <c r="P114" i="55" s="1"/>
  <c r="K128" i="3"/>
  <c r="L128" i="3" s="1"/>
  <c r="D128" i="55" s="1"/>
  <c r="F128" i="55" s="1"/>
  <c r="P128" i="55" s="1"/>
  <c r="K158" i="3"/>
  <c r="L158" i="3" s="1"/>
  <c r="D158" i="55" s="1"/>
  <c r="F158" i="55" s="1"/>
  <c r="P158" i="55" s="1"/>
  <c r="K36" i="3"/>
  <c r="L36" i="3" s="1"/>
  <c r="D36" i="55" s="1"/>
  <c r="F36" i="55" s="1"/>
  <c r="P36" i="55" s="1"/>
  <c r="K29" i="3"/>
  <c r="L29" i="3" s="1"/>
  <c r="D29" i="55" s="1"/>
  <c r="F29" i="55" s="1"/>
  <c r="P29" i="55" s="1"/>
  <c r="K85" i="3"/>
  <c r="L85" i="3" s="1"/>
  <c r="D85" i="55" s="1"/>
  <c r="F85" i="55" s="1"/>
  <c r="P85" i="55" s="1"/>
  <c r="K104" i="3"/>
  <c r="L104" i="3" s="1"/>
  <c r="D104" i="55" s="1"/>
  <c r="F104" i="55" s="1"/>
  <c r="P104" i="55" s="1"/>
  <c r="K223" i="3"/>
  <c r="L223" i="3" s="1"/>
  <c r="D223" i="55" s="1"/>
  <c r="F223" i="55" s="1"/>
  <c r="P223" i="55" s="1"/>
  <c r="K245" i="3"/>
  <c r="L245" i="3" s="1"/>
  <c r="D245" i="55" s="1"/>
  <c r="F245" i="55" s="1"/>
  <c r="P245" i="55" s="1"/>
  <c r="K240" i="3"/>
  <c r="L240" i="3" s="1"/>
  <c r="D240" i="55" s="1"/>
  <c r="F240" i="55" s="1"/>
  <c r="P240" i="55" s="1"/>
  <c r="K230" i="3"/>
  <c r="L230" i="3" s="1"/>
  <c r="D230" i="55" s="1"/>
  <c r="F230" i="55" s="1"/>
  <c r="P230" i="55" s="1"/>
  <c r="K140" i="3"/>
  <c r="L140" i="3" s="1"/>
  <c r="D140" i="55" s="1"/>
  <c r="F140" i="55" s="1"/>
  <c r="P140" i="55" s="1"/>
  <c r="K18" i="3"/>
  <c r="L18" i="3" s="1"/>
  <c r="D18" i="55" s="1"/>
  <c r="F18" i="55" s="1"/>
  <c r="P18" i="55" s="1"/>
  <c r="K222" i="3"/>
  <c r="L222" i="3" s="1"/>
  <c r="D222" i="55" s="1"/>
  <c r="F222" i="55" s="1"/>
  <c r="P222" i="55" s="1"/>
  <c r="K74" i="3"/>
  <c r="L74" i="3" s="1"/>
  <c r="D74" i="55" s="1"/>
  <c r="F74" i="55" s="1"/>
  <c r="P74" i="55" s="1"/>
  <c r="K99" i="3"/>
  <c r="L99" i="3" s="1"/>
  <c r="D99" i="55" s="1"/>
  <c r="F99" i="55" s="1"/>
  <c r="P99" i="55" s="1"/>
  <c r="K58" i="3"/>
  <c r="L58" i="3" s="1"/>
  <c r="D58" i="55" s="1"/>
  <c r="F58" i="55" s="1"/>
  <c r="P58" i="55" s="1"/>
  <c r="K227" i="3"/>
  <c r="L227" i="3" s="1"/>
  <c r="D227" i="55" s="1"/>
  <c r="F227" i="55" s="1"/>
  <c r="P227" i="55" s="1"/>
  <c r="K49" i="3"/>
  <c r="L49" i="3" s="1"/>
  <c r="D49" i="55" s="1"/>
  <c r="F49" i="55" s="1"/>
  <c r="P49" i="55" s="1"/>
  <c r="K266" i="3"/>
  <c r="L266" i="3" s="1"/>
  <c r="D266" i="55" s="1"/>
  <c r="F266" i="55" s="1"/>
  <c r="P266" i="55" s="1"/>
  <c r="K292" i="3"/>
  <c r="L292" i="3" s="1"/>
  <c r="D292" i="55" s="1"/>
  <c r="F292" i="55" s="1"/>
  <c r="P292" i="55" s="1"/>
  <c r="K154" i="3"/>
  <c r="L154" i="3" s="1"/>
  <c r="D154" i="55" s="1"/>
  <c r="F154" i="55" s="1"/>
  <c r="P154" i="55" s="1"/>
  <c r="K72" i="3"/>
  <c r="L72" i="3" s="1"/>
  <c r="D72" i="55" s="1"/>
  <c r="F72" i="55" s="1"/>
  <c r="P72" i="55" s="1"/>
  <c r="K148" i="3"/>
  <c r="L148" i="3" s="1"/>
  <c r="D148" i="55" s="1"/>
  <c r="F148" i="55" s="1"/>
  <c r="P148" i="55" s="1"/>
  <c r="K33" i="3"/>
  <c r="L33" i="3" s="1"/>
  <c r="D33" i="55" s="1"/>
  <c r="F33" i="55" s="1"/>
  <c r="P33" i="55" s="1"/>
  <c r="K247" i="3"/>
  <c r="L247" i="3" s="1"/>
  <c r="D247" i="55" s="1"/>
  <c r="F247" i="55" s="1"/>
  <c r="P247" i="55" s="1"/>
  <c r="K168" i="3"/>
  <c r="L168" i="3" s="1"/>
  <c r="D168" i="55" s="1"/>
  <c r="F168" i="55" s="1"/>
  <c r="P168" i="55" s="1"/>
  <c r="K260" i="3"/>
  <c r="L260" i="3" s="1"/>
  <c r="D260" i="55" s="1"/>
  <c r="F260" i="55" s="1"/>
  <c r="P260" i="55" s="1"/>
  <c r="K214" i="3"/>
  <c r="L214" i="3" s="1"/>
  <c r="D214" i="55" s="1"/>
  <c r="F214" i="55" s="1"/>
  <c r="P214" i="55" s="1"/>
  <c r="K281" i="3"/>
  <c r="L281" i="3" s="1"/>
  <c r="D281" i="55" s="1"/>
  <c r="F281" i="55" s="1"/>
  <c r="P281" i="55" s="1"/>
  <c r="K231" i="3"/>
  <c r="L231" i="3" s="1"/>
  <c r="D231" i="55" s="1"/>
  <c r="F231" i="55" s="1"/>
  <c r="P231" i="55" s="1"/>
  <c r="K107" i="3"/>
  <c r="L107" i="3" s="1"/>
  <c r="D107" i="55" s="1"/>
  <c r="F107" i="55" s="1"/>
  <c r="P107" i="55" s="1"/>
  <c r="K21" i="3"/>
  <c r="L21" i="3" s="1"/>
  <c r="D21" i="55" s="1"/>
  <c r="F21" i="55" s="1"/>
  <c r="P21" i="55" s="1"/>
  <c r="K276" i="3"/>
  <c r="L276" i="3" s="1"/>
  <c r="D276" i="55" s="1"/>
  <c r="F276" i="55" s="1"/>
  <c r="P276" i="55" s="1"/>
  <c r="K27" i="3"/>
  <c r="L27" i="3" s="1"/>
  <c r="D27" i="55" s="1"/>
  <c r="F27" i="55" s="1"/>
  <c r="P27" i="55" s="1"/>
  <c r="K181" i="3"/>
  <c r="L181" i="3" s="1"/>
  <c r="D181" i="55" s="1"/>
  <c r="F181" i="55" s="1"/>
  <c r="P181" i="55" s="1"/>
  <c r="K109" i="3"/>
  <c r="L109" i="3" s="1"/>
  <c r="D109" i="55" s="1"/>
  <c r="F109" i="55" s="1"/>
  <c r="P109" i="55" s="1"/>
  <c r="K127" i="3"/>
  <c r="L127" i="3" s="1"/>
  <c r="D127" i="55" s="1"/>
  <c r="F127" i="55" s="1"/>
  <c r="P127" i="55" s="1"/>
  <c r="K242" i="3"/>
  <c r="L242" i="3" s="1"/>
  <c r="D242" i="55" s="1"/>
  <c r="F242" i="55" s="1"/>
  <c r="P242" i="55" s="1"/>
  <c r="K178" i="3"/>
  <c r="L178" i="3" s="1"/>
  <c r="D178" i="55" s="1"/>
  <c r="F178" i="55" s="1"/>
  <c r="P178" i="55" s="1"/>
  <c r="K120" i="3"/>
  <c r="L120" i="3" s="1"/>
  <c r="D120" i="55" s="1"/>
  <c r="F120" i="55" s="1"/>
  <c r="P120" i="55" s="1"/>
  <c r="K234" i="3"/>
  <c r="L234" i="3" s="1"/>
  <c r="D234" i="55" s="1"/>
  <c r="F234" i="55" s="1"/>
  <c r="P234" i="55" s="1"/>
  <c r="K10" i="3"/>
  <c r="L10" i="3" s="1"/>
  <c r="D10" i="55" s="1"/>
  <c r="F10" i="55" s="1"/>
  <c r="P10" i="55" s="1"/>
  <c r="K187" i="3"/>
  <c r="L187" i="3" s="1"/>
  <c r="D187" i="55" s="1"/>
  <c r="F187" i="55" s="1"/>
  <c r="P187" i="55" s="1"/>
  <c r="K145" i="3"/>
  <c r="L145" i="3" s="1"/>
  <c r="D145" i="55" s="1"/>
  <c r="F145" i="55" s="1"/>
  <c r="P145" i="55" s="1"/>
  <c r="K79" i="3"/>
  <c r="L79" i="3" s="1"/>
  <c r="D79" i="55" s="1"/>
  <c r="F79" i="55" s="1"/>
  <c r="P79" i="55" s="1"/>
  <c r="K118" i="3"/>
  <c r="L118" i="3" s="1"/>
  <c r="D118" i="55" s="1"/>
  <c r="F118" i="55" s="1"/>
  <c r="P118" i="55" s="1"/>
  <c r="K48" i="3"/>
  <c r="L48" i="3" s="1"/>
  <c r="D48" i="55" s="1"/>
  <c r="F48" i="55" s="1"/>
  <c r="P48" i="55" s="1"/>
  <c r="K189" i="3"/>
  <c r="L189" i="3" s="1"/>
  <c r="D189" i="55" s="1"/>
  <c r="F189" i="55" s="1"/>
  <c r="P189" i="55" s="1"/>
  <c r="K123" i="3"/>
  <c r="L123" i="3" s="1"/>
  <c r="D123" i="55" s="1"/>
  <c r="F123" i="55" s="1"/>
  <c r="P123" i="55" s="1"/>
  <c r="K235" i="3"/>
  <c r="L235" i="3" s="1"/>
  <c r="D235" i="55" s="1"/>
  <c r="F235" i="55" s="1"/>
  <c r="P235" i="55" s="1"/>
  <c r="K54" i="3"/>
  <c r="L54" i="3" s="1"/>
  <c r="D54" i="55" s="1"/>
  <c r="F54" i="55" s="1"/>
  <c r="P54" i="55" s="1"/>
  <c r="K61" i="3"/>
  <c r="L61" i="3" s="1"/>
  <c r="D61" i="55" s="1"/>
  <c r="F61" i="55" s="1"/>
  <c r="P61" i="55" s="1"/>
  <c r="K96" i="3"/>
  <c r="L96" i="3" s="1"/>
  <c r="D96" i="55" s="1"/>
  <c r="F96" i="55" s="1"/>
  <c r="P96" i="55" s="1"/>
  <c r="K167" i="3"/>
  <c r="L167" i="3" s="1"/>
  <c r="D167" i="55" s="1"/>
  <c r="F167" i="55" s="1"/>
  <c r="P167" i="55" s="1"/>
  <c r="K221" i="3"/>
  <c r="L221" i="3" s="1"/>
  <c r="D221" i="55" s="1"/>
  <c r="F221" i="55" s="1"/>
  <c r="P221" i="55" s="1"/>
  <c r="K64" i="3"/>
  <c r="L64" i="3" s="1"/>
  <c r="D64" i="55" s="1"/>
  <c r="F64" i="55" s="1"/>
  <c r="P64" i="55" s="1"/>
  <c r="K35" i="3"/>
  <c r="L35" i="3" s="1"/>
  <c r="D35" i="55" s="1"/>
  <c r="F35" i="55" s="1"/>
  <c r="P35" i="55" s="1"/>
  <c r="K224" i="3"/>
  <c r="L224" i="3" s="1"/>
  <c r="D224" i="55" s="1"/>
  <c r="F224" i="55" s="1"/>
  <c r="P224" i="55" s="1"/>
  <c r="K112" i="3"/>
  <c r="L112" i="3" s="1"/>
  <c r="D112" i="55" s="1"/>
  <c r="K139" i="3"/>
  <c r="L139" i="3" s="1"/>
  <c r="D139" i="55" s="1"/>
  <c r="F139" i="55" s="1"/>
  <c r="P139" i="55" s="1"/>
  <c r="K142" i="3"/>
  <c r="L142" i="3" s="1"/>
  <c r="D142" i="55" s="1"/>
  <c r="F142" i="55" s="1"/>
  <c r="P142" i="55" s="1"/>
  <c r="K134" i="3"/>
  <c r="L134" i="3" s="1"/>
  <c r="D134" i="55" s="1"/>
  <c r="F134" i="55" s="1"/>
  <c r="P134" i="55" s="1"/>
  <c r="K295" i="3"/>
  <c r="L295" i="3" s="1"/>
  <c r="D295" i="55" s="1"/>
  <c r="F295" i="55" s="1"/>
  <c r="P295" i="55" s="1"/>
  <c r="K229" i="3"/>
  <c r="L229" i="3" s="1"/>
  <c r="D229" i="55" s="1"/>
  <c r="F229" i="55" s="1"/>
  <c r="P229" i="55" s="1"/>
  <c r="K211" i="3"/>
  <c r="L211" i="3" s="1"/>
  <c r="D211" i="55" s="1"/>
  <c r="F211" i="55" s="1"/>
  <c r="P211" i="55" s="1"/>
  <c r="K9" i="3"/>
  <c r="L9" i="3" s="1"/>
  <c r="D9" i="55" s="1"/>
  <c r="F9" i="55" s="1"/>
  <c r="P9" i="55" s="1"/>
  <c r="K217" i="3"/>
  <c r="L217" i="3" s="1"/>
  <c r="D217" i="55" s="1"/>
  <c r="F217" i="55" s="1"/>
  <c r="P217" i="55" s="1"/>
  <c r="K191" i="3"/>
  <c r="L191" i="3" s="1"/>
  <c r="D191" i="55" s="1"/>
  <c r="F191" i="55" s="1"/>
  <c r="P191" i="55" s="1"/>
  <c r="K50" i="3"/>
  <c r="L50" i="3" s="1"/>
  <c r="D50" i="55" s="1"/>
  <c r="F50" i="55" s="1"/>
  <c r="P50" i="55" s="1"/>
  <c r="K256" i="3"/>
  <c r="L256" i="3" s="1"/>
  <c r="D256" i="55" s="1"/>
  <c r="F256" i="55" s="1"/>
  <c r="P256" i="55" s="1"/>
  <c r="K226" i="3"/>
  <c r="L226" i="3" s="1"/>
  <c r="D226" i="55" s="1"/>
  <c r="F226" i="55" s="1"/>
  <c r="P226" i="55" s="1"/>
  <c r="K193" i="3"/>
  <c r="L193" i="3" s="1"/>
  <c r="D193" i="55" s="1"/>
  <c r="F193" i="55" s="1"/>
  <c r="P193" i="55" s="1"/>
  <c r="K70" i="3"/>
  <c r="L70" i="3" s="1"/>
  <c r="D70" i="55" s="1"/>
  <c r="F70" i="55" s="1"/>
  <c r="P70" i="55" s="1"/>
  <c r="K238" i="3"/>
  <c r="L238" i="3" s="1"/>
  <c r="D238" i="55" s="1"/>
  <c r="F238" i="55" s="1"/>
  <c r="P238" i="55" s="1"/>
  <c r="K105" i="3"/>
  <c r="L105" i="3" s="1"/>
  <c r="D105" i="55" s="1"/>
  <c r="F105" i="55" s="1"/>
  <c r="P105" i="55" s="1"/>
  <c r="K138" i="3"/>
  <c r="L138" i="3" s="1"/>
  <c r="D138" i="55" s="1"/>
  <c r="F138" i="55" s="1"/>
  <c r="P138" i="55" s="1"/>
  <c r="K28" i="3"/>
  <c r="L28" i="3" s="1"/>
  <c r="D28" i="55" s="1"/>
  <c r="F28" i="55" s="1"/>
  <c r="P28" i="55" s="1"/>
  <c r="K129" i="3"/>
  <c r="L129" i="3" s="1"/>
  <c r="D129" i="55" s="1"/>
  <c r="F129" i="55" s="1"/>
  <c r="P129" i="55" s="1"/>
  <c r="K15" i="3"/>
  <c r="L15" i="3" s="1"/>
  <c r="D15" i="55" s="1"/>
  <c r="F15" i="55" s="1"/>
  <c r="P15" i="55" s="1"/>
  <c r="K272" i="3"/>
  <c r="L272" i="3" s="1"/>
  <c r="D272" i="55" s="1"/>
  <c r="F272" i="55" s="1"/>
  <c r="P272" i="55" s="1"/>
  <c r="K169" i="3"/>
  <c r="L169" i="3" s="1"/>
  <c r="D169" i="55" s="1"/>
  <c r="F169" i="55" s="1"/>
  <c r="P169" i="55" s="1"/>
  <c r="K291" i="3"/>
  <c r="L291" i="3" s="1"/>
  <c r="D291" i="55" s="1"/>
  <c r="F291" i="55" s="1"/>
  <c r="P291" i="55" s="1"/>
  <c r="K51" i="3"/>
  <c r="L51" i="3" s="1"/>
  <c r="D51" i="55" s="1"/>
  <c r="F51" i="55" s="1"/>
  <c r="P51" i="55" s="1"/>
  <c r="K274" i="3"/>
  <c r="L274" i="3" s="1"/>
  <c r="D274" i="55" s="1"/>
  <c r="F274" i="55" s="1"/>
  <c r="P274" i="55" s="1"/>
  <c r="K205" i="3"/>
  <c r="L205" i="3" s="1"/>
  <c r="D205" i="55" s="1"/>
  <c r="F205" i="55" s="1"/>
  <c r="P205" i="55" s="1"/>
  <c r="K204" i="3"/>
  <c r="L204" i="3" s="1"/>
  <c r="D204" i="55" s="1"/>
  <c r="F204" i="55" s="1"/>
  <c r="P204" i="55" s="1"/>
  <c r="K171" i="3"/>
  <c r="L171" i="3" s="1"/>
  <c r="D171" i="55" s="1"/>
  <c r="F171" i="55" s="1"/>
  <c r="P171" i="55" s="1"/>
  <c r="K116" i="3"/>
  <c r="L116" i="3" s="1"/>
  <c r="D116" i="55" s="1"/>
  <c r="F116" i="55" s="1"/>
  <c r="P116" i="55" s="1"/>
  <c r="K188" i="3"/>
  <c r="L188" i="3" s="1"/>
  <c r="D188" i="55" s="1"/>
  <c r="F188" i="55" s="1"/>
  <c r="P188" i="55" s="1"/>
  <c r="K209" i="3"/>
  <c r="L209" i="3" s="1"/>
  <c r="D209" i="55" s="1"/>
  <c r="F209" i="55" s="1"/>
  <c r="P209" i="55" s="1"/>
  <c r="F147" i="55"/>
  <c r="P147" i="55" s="1"/>
  <c r="K16" i="3"/>
  <c r="L16" i="3" s="1"/>
  <c r="D16" i="55" s="1"/>
  <c r="F16" i="55" s="1"/>
  <c r="P16" i="55" s="1"/>
  <c r="K47" i="3"/>
  <c r="L47" i="3" s="1"/>
  <c r="D47" i="55" s="1"/>
  <c r="F47" i="55" s="1"/>
  <c r="P47" i="55" s="1"/>
  <c r="K65" i="3"/>
  <c r="L65" i="3" s="1"/>
  <c r="D65" i="55" s="1"/>
  <c r="F65" i="55" s="1"/>
  <c r="P65" i="55" s="1"/>
  <c r="K264" i="3"/>
  <c r="L264" i="3" s="1"/>
  <c r="D264" i="55" s="1"/>
  <c r="F264" i="55" s="1"/>
  <c r="P264" i="55" s="1"/>
  <c r="K91" i="3"/>
  <c r="L91" i="3" s="1"/>
  <c r="D91" i="55" s="1"/>
  <c r="F91" i="55" s="1"/>
  <c r="P91" i="55" s="1"/>
  <c r="K80" i="3"/>
  <c r="L80" i="3" s="1"/>
  <c r="D80" i="55" s="1"/>
  <c r="F80" i="55" s="1"/>
  <c r="P80" i="55" s="1"/>
  <c r="K228" i="3"/>
  <c r="L228" i="3" s="1"/>
  <c r="D228" i="55" s="1"/>
  <c r="F228" i="55" s="1"/>
  <c r="P228" i="55" s="1"/>
  <c r="K150" i="3"/>
  <c r="L150" i="3" s="1"/>
  <c r="D150" i="55" s="1"/>
  <c r="F150" i="55" s="1"/>
  <c r="P150" i="55" s="1"/>
  <c r="K73" i="3"/>
  <c r="L73" i="3" s="1"/>
  <c r="D73" i="55" s="1"/>
  <c r="F73" i="55" s="1"/>
  <c r="P73" i="55" s="1"/>
  <c r="K110" i="3"/>
  <c r="L110" i="3" s="1"/>
  <c r="D110" i="55" s="1"/>
  <c r="F110" i="55" s="1"/>
  <c r="P110" i="55" s="1"/>
  <c r="K172" i="3"/>
  <c r="L172" i="3" s="1"/>
  <c r="D172" i="55" s="1"/>
  <c r="F172" i="55" s="1"/>
  <c r="P172" i="55" s="1"/>
  <c r="F97" i="55"/>
  <c r="P97" i="55" s="1"/>
  <c r="K121" i="3"/>
  <c r="L121" i="3" s="1"/>
  <c r="D121" i="55" s="1"/>
  <c r="F121" i="55" s="1"/>
  <c r="P121" i="55" s="1"/>
  <c r="K83" i="3"/>
  <c r="L83" i="3" s="1"/>
  <c r="D83" i="55" s="1"/>
  <c r="F83" i="55" s="1"/>
  <c r="P83" i="55" s="1"/>
  <c r="K95" i="3"/>
  <c r="L95" i="3" s="1"/>
  <c r="D95" i="55" s="1"/>
  <c r="F95" i="55" s="1"/>
  <c r="P95" i="55" s="1"/>
  <c r="K164" i="3"/>
  <c r="L164" i="3" s="1"/>
  <c r="D164" i="55" s="1"/>
  <c r="F164" i="55" s="1"/>
  <c r="P164" i="55" s="1"/>
  <c r="K195" i="3"/>
  <c r="L195" i="3" s="1"/>
  <c r="D195" i="55" s="1"/>
  <c r="F195" i="55" s="1"/>
  <c r="P195" i="55" s="1"/>
  <c r="K297" i="3"/>
  <c r="L297" i="3" s="1"/>
  <c r="D297" i="55" s="1"/>
  <c r="F297" i="55" s="1"/>
  <c r="P297" i="55" s="1"/>
  <c r="K173" i="3"/>
  <c r="L173" i="3" s="1"/>
  <c r="D173" i="55" s="1"/>
  <c r="F173" i="55" s="1"/>
  <c r="P173" i="55" s="1"/>
  <c r="K241" i="3"/>
  <c r="L241" i="3" s="1"/>
  <c r="D241" i="55" s="1"/>
  <c r="F241" i="55" s="1"/>
  <c r="P241" i="55" s="1"/>
  <c r="K301" i="3"/>
  <c r="L301" i="3" s="1"/>
  <c r="D301" i="55" s="1"/>
  <c r="F301" i="55" s="1"/>
  <c r="P301" i="55" s="1"/>
  <c r="K132" i="3"/>
  <c r="L132" i="3" s="1"/>
  <c r="D132" i="55" s="1"/>
  <c r="F132" i="55" s="1"/>
  <c r="P132" i="55" s="1"/>
  <c r="K287" i="3"/>
  <c r="L287" i="3" s="1"/>
  <c r="D287" i="55" s="1"/>
  <c r="F287" i="55" s="1"/>
  <c r="P287" i="55" s="1"/>
  <c r="K192" i="3"/>
  <c r="L192" i="3" s="1"/>
  <c r="D192" i="55" s="1"/>
  <c r="F192" i="55" s="1"/>
  <c r="P192" i="55" s="1"/>
  <c r="K182" i="3"/>
  <c r="L182" i="3" s="1"/>
  <c r="D182" i="55" s="1"/>
  <c r="F182" i="55" s="1"/>
  <c r="P182" i="55" s="1"/>
  <c r="K20" i="3"/>
  <c r="L20" i="3" s="1"/>
  <c r="D20" i="55" s="1"/>
  <c r="F20" i="55" s="1"/>
  <c r="P20" i="55" s="1"/>
  <c r="K196" i="3"/>
  <c r="L196" i="3" s="1"/>
  <c r="D196" i="55" s="1"/>
  <c r="F196" i="55" s="1"/>
  <c r="P196" i="55" s="1"/>
  <c r="K37" i="3"/>
  <c r="L37" i="3" s="1"/>
  <c r="D37" i="55" s="1"/>
  <c r="F37" i="55" s="1"/>
  <c r="P37" i="55" s="1"/>
  <c r="K300" i="3"/>
  <c r="L300" i="3" s="1"/>
  <c r="D300" i="55" s="1"/>
  <c r="F300" i="55" s="1"/>
  <c r="P300" i="55" s="1"/>
  <c r="K40" i="3"/>
  <c r="L40" i="3" s="1"/>
  <c r="D40" i="55" s="1"/>
  <c r="F40" i="55" s="1"/>
  <c r="P40" i="55" s="1"/>
  <c r="K177" i="3"/>
  <c r="L177" i="3" s="1"/>
  <c r="D177" i="55" s="1"/>
  <c r="F177" i="55" s="1"/>
  <c r="P177" i="55" s="1"/>
  <c r="K14" i="3"/>
  <c r="L14" i="3" s="1"/>
  <c r="D14" i="55" s="1"/>
  <c r="F14" i="55" s="1"/>
  <c r="P14" i="55" s="1"/>
  <c r="K78" i="3"/>
  <c r="L78" i="3" s="1"/>
  <c r="D78" i="55" s="1"/>
  <c r="F78" i="55" s="1"/>
  <c r="P78" i="55" s="1"/>
  <c r="K100" i="3"/>
  <c r="L100" i="3" s="1"/>
  <c r="D100" i="55" s="1"/>
  <c r="F100" i="55" s="1"/>
  <c r="P100" i="55" s="1"/>
  <c r="K220" i="3"/>
  <c r="L220" i="3" s="1"/>
  <c r="D220" i="55" s="1"/>
  <c r="F220" i="55" s="1"/>
  <c r="P220" i="55" s="1"/>
  <c r="K44" i="3"/>
  <c r="L44" i="3" s="1"/>
  <c r="D44" i="55" s="1"/>
  <c r="F44" i="55" s="1"/>
  <c r="P44" i="55" s="1"/>
  <c r="K141" i="3"/>
  <c r="L141" i="3" s="1"/>
  <c r="D141" i="55" s="1"/>
  <c r="F141" i="55" s="1"/>
  <c r="P141" i="55" s="1"/>
  <c r="K207" i="3"/>
  <c r="L207" i="3" s="1"/>
  <c r="D207" i="55" s="1"/>
  <c r="F207" i="55" s="1"/>
  <c r="P207" i="55" s="1"/>
  <c r="K34" i="3"/>
  <c r="L34" i="3" s="1"/>
  <c r="D34" i="55" s="1"/>
  <c r="F34" i="55" s="1"/>
  <c r="P34" i="55" s="1"/>
  <c r="C302" i="55"/>
  <c r="K8" i="3"/>
  <c r="L8" i="3" s="1"/>
  <c r="J302" i="3"/>
  <c r="G19" i="45"/>
  <c r="B20" i="45" s="1"/>
  <c r="B10" i="45"/>
  <c r="G13" i="45"/>
  <c r="K289" i="3"/>
  <c r="L289" i="3" s="1"/>
  <c r="D289" i="55" s="1"/>
  <c r="F289" i="55" s="1"/>
  <c r="P289" i="55" s="1"/>
  <c r="K151" i="3"/>
  <c r="L151" i="3" s="1"/>
  <c r="D151" i="55" s="1"/>
  <c r="F151" i="55" s="1"/>
  <c r="P151" i="55" s="1"/>
  <c r="K156" i="3"/>
  <c r="L156" i="3" s="1"/>
  <c r="D156" i="55" s="1"/>
  <c r="F156" i="55" s="1"/>
  <c r="P156" i="55" s="1"/>
  <c r="K66" i="3"/>
  <c r="L66" i="3" s="1"/>
  <c r="D66" i="55" s="1"/>
  <c r="F66" i="55" s="1"/>
  <c r="P66" i="55" s="1"/>
  <c r="K184" i="3"/>
  <c r="L184" i="3" s="1"/>
  <c r="D184" i="55" s="1"/>
  <c r="F184" i="55" s="1"/>
  <c r="P184" i="55" s="1"/>
  <c r="K42" i="3"/>
  <c r="L42" i="3" s="1"/>
  <c r="D42" i="55" s="1"/>
  <c r="F42" i="55" s="1"/>
  <c r="P42" i="55" s="1"/>
  <c r="K279" i="3"/>
  <c r="L279" i="3" s="1"/>
  <c r="D279" i="55" s="1"/>
  <c r="F279" i="55" s="1"/>
  <c r="P279" i="55" s="1"/>
  <c r="K144" i="3"/>
  <c r="L144" i="3" s="1"/>
  <c r="D144" i="55" s="1"/>
  <c r="F144" i="55" s="1"/>
  <c r="P144" i="55" s="1"/>
  <c r="K57" i="3"/>
  <c r="L57" i="3" s="1"/>
  <c r="D57" i="55" s="1"/>
  <c r="F57" i="55" s="1"/>
  <c r="P57" i="55" s="1"/>
  <c r="K261" i="3"/>
  <c r="L261" i="3" s="1"/>
  <c r="D261" i="55" s="1"/>
  <c r="F261" i="55" s="1"/>
  <c r="P261" i="55" s="1"/>
  <c r="K252" i="3"/>
  <c r="L252" i="3" s="1"/>
  <c r="D252" i="55" s="1"/>
  <c r="F252" i="55" s="1"/>
  <c r="P252" i="55" s="1"/>
  <c r="K268" i="3"/>
  <c r="L268" i="3" s="1"/>
  <c r="D268" i="55" s="1"/>
  <c r="F268" i="55" s="1"/>
  <c r="P268" i="55" s="1"/>
  <c r="K285" i="3"/>
  <c r="L285" i="3" s="1"/>
  <c r="D285" i="55" s="1"/>
  <c r="F285" i="55" s="1"/>
  <c r="P285" i="55" s="1"/>
  <c r="K31" i="3"/>
  <c r="L31" i="3" s="1"/>
  <c r="D31" i="55" s="1"/>
  <c r="F31" i="55" s="1"/>
  <c r="P31" i="55" s="1"/>
  <c r="K299" i="3"/>
  <c r="L299" i="3" s="1"/>
  <c r="D299" i="55" s="1"/>
  <c r="F299" i="55" s="1"/>
  <c r="P299" i="55" s="1"/>
  <c r="K26" i="3"/>
  <c r="L26" i="3" s="1"/>
  <c r="D26" i="55" s="1"/>
  <c r="F26" i="55" s="1"/>
  <c r="P26" i="55" s="1"/>
  <c r="K263" i="3"/>
  <c r="L263" i="3" s="1"/>
  <c r="D263" i="55" s="1"/>
  <c r="F263" i="55" s="1"/>
  <c r="P263" i="55" s="1"/>
  <c r="K194" i="3"/>
  <c r="L194" i="3" s="1"/>
  <c r="D194" i="55" s="1"/>
  <c r="F194" i="55" s="1"/>
  <c r="P194" i="55" s="1"/>
  <c r="K160" i="3"/>
  <c r="L160" i="3" s="1"/>
  <c r="D160" i="55" s="1"/>
  <c r="F160" i="55" s="1"/>
  <c r="P160" i="55" s="1"/>
  <c r="F43" i="55"/>
  <c r="P43" i="55" s="1"/>
  <c r="K165" i="3"/>
  <c r="L165" i="3" s="1"/>
  <c r="D165" i="55" s="1"/>
  <c r="F165" i="55" s="1"/>
  <c r="P165" i="55" s="1"/>
  <c r="K82" i="3"/>
  <c r="L82" i="3" s="1"/>
  <c r="D82" i="55" s="1"/>
  <c r="F82" i="55" s="1"/>
  <c r="P82" i="55" s="1"/>
  <c r="K176" i="3"/>
  <c r="L176" i="3" s="1"/>
  <c r="D176" i="55" s="1"/>
  <c r="F176" i="55" s="1"/>
  <c r="P176" i="55" s="1"/>
  <c r="K236" i="3"/>
  <c r="L236" i="3" s="1"/>
  <c r="D236" i="55" s="1"/>
  <c r="F236" i="55" s="1"/>
  <c r="P236" i="55" s="1"/>
  <c r="K251" i="3"/>
  <c r="L251" i="3" s="1"/>
  <c r="D251" i="55" s="1"/>
  <c r="F251" i="55" s="1"/>
  <c r="P251" i="55" s="1"/>
  <c r="K174" i="3"/>
  <c r="L174" i="3" s="1"/>
  <c r="D174" i="55" s="1"/>
  <c r="F174" i="55" s="1"/>
  <c r="P174" i="55" s="1"/>
  <c r="K290" i="3"/>
  <c r="L290" i="3" s="1"/>
  <c r="D290" i="55" s="1"/>
  <c r="F290" i="55" s="1"/>
  <c r="P290" i="55" s="1"/>
  <c r="K59" i="3"/>
  <c r="L59" i="3" s="1"/>
  <c r="D59" i="55" s="1"/>
  <c r="F59" i="55" s="1"/>
  <c r="P59" i="55" s="1"/>
  <c r="K257" i="3"/>
  <c r="L257" i="3" s="1"/>
  <c r="D257" i="55" s="1"/>
  <c r="F257" i="55" s="1"/>
  <c r="P257" i="55" s="1"/>
  <c r="K101" i="3"/>
  <c r="L101" i="3" s="1"/>
  <c r="D101" i="55" s="1"/>
  <c r="F101" i="55" s="1"/>
  <c r="P101" i="55" s="1"/>
  <c r="K199" i="3"/>
  <c r="L199" i="3" s="1"/>
  <c r="D199" i="55" s="1"/>
  <c r="F199" i="55" s="1"/>
  <c r="P199" i="55" s="1"/>
  <c r="K197" i="3"/>
  <c r="L197" i="3" s="1"/>
  <c r="D197" i="55" s="1"/>
  <c r="F197" i="55" s="1"/>
  <c r="P197" i="55" s="1"/>
  <c r="K63" i="3"/>
  <c r="L63" i="3" s="1"/>
  <c r="D63" i="55" s="1"/>
  <c r="F63" i="55" s="1"/>
  <c r="P63" i="55" s="1"/>
  <c r="F112" i="55" l="1"/>
  <c r="E7" i="57"/>
  <c r="H7" i="57" s="1"/>
  <c r="D8" i="55"/>
  <c r="L302" i="3"/>
  <c r="P112" i="55" l="1"/>
  <c r="E22" i="57" s="1"/>
  <c r="E5" i="57"/>
  <c r="H5" i="57" s="1"/>
  <c r="L6" i="3"/>
  <c r="K13" i="50"/>
  <c r="D302" i="55"/>
  <c r="F8" i="55"/>
  <c r="H22" i="57" l="1"/>
  <c r="F302" i="55"/>
  <c r="P8" i="55"/>
  <c r="K17" i="50"/>
  <c r="K14" i="50"/>
  <c r="K5" i="50" s="1"/>
  <c r="D4" i="4" l="1"/>
  <c r="P302" i="55"/>
  <c r="D214" i="4" l="1"/>
  <c r="T214" i="55" s="1"/>
  <c r="V214" i="55" s="1"/>
  <c r="D169" i="4"/>
  <c r="T169" i="55" s="1"/>
  <c r="V169" i="55" s="1"/>
  <c r="D244" i="4"/>
  <c r="T244" i="55" s="1"/>
  <c r="V244" i="55" s="1"/>
  <c r="D250" i="4"/>
  <c r="T250" i="55" s="1"/>
  <c r="V250" i="55" s="1"/>
  <c r="D264" i="4"/>
  <c r="T264" i="55" s="1"/>
  <c r="V264" i="55" s="1"/>
  <c r="D172" i="4"/>
  <c r="T172" i="55" s="1"/>
  <c r="V172" i="55" s="1"/>
  <c r="D58" i="4"/>
  <c r="T58" i="55" s="1"/>
  <c r="V58" i="55" s="1"/>
  <c r="D167" i="4"/>
  <c r="T167" i="55" s="1"/>
  <c r="V167" i="55" s="1"/>
  <c r="D64" i="4"/>
  <c r="T64" i="55" s="1"/>
  <c r="V64" i="55" s="1"/>
  <c r="D216" i="4"/>
  <c r="T216" i="55" s="1"/>
  <c r="V216" i="55" s="1"/>
  <c r="D142" i="4"/>
  <c r="T142" i="55" s="1"/>
  <c r="V142" i="55" s="1"/>
  <c r="D97" i="4"/>
  <c r="T97" i="55" s="1"/>
  <c r="V97" i="55" s="1"/>
  <c r="D143" i="4"/>
  <c r="T143" i="55" s="1"/>
  <c r="V143" i="55" s="1"/>
  <c r="D129" i="4"/>
  <c r="T129" i="55" s="1"/>
  <c r="V129" i="55" s="1"/>
  <c r="D206" i="4"/>
  <c r="T206" i="55" s="1"/>
  <c r="V206" i="55" s="1"/>
  <c r="D77" i="4"/>
  <c r="T77" i="55" s="1"/>
  <c r="V77" i="55" s="1"/>
  <c r="D184" i="4"/>
  <c r="T184" i="55" s="1"/>
  <c r="V184" i="55" s="1"/>
  <c r="D289" i="4"/>
  <c r="T289" i="55" s="1"/>
  <c r="V289" i="55" s="1"/>
  <c r="D208" i="4"/>
  <c r="T208" i="55" s="1"/>
  <c r="V208" i="55" s="1"/>
  <c r="D211" i="4"/>
  <c r="T211" i="55" s="1"/>
  <c r="V211" i="55" s="1"/>
  <c r="D85" i="4"/>
  <c r="T85" i="55" s="1"/>
  <c r="V85" i="55" s="1"/>
  <c r="D117" i="4"/>
  <c r="T117" i="55" s="1"/>
  <c r="V117" i="55" s="1"/>
  <c r="D230" i="4"/>
  <c r="T230" i="55" s="1"/>
  <c r="V230" i="55" s="1"/>
  <c r="D199" i="4"/>
  <c r="T199" i="55" s="1"/>
  <c r="V199" i="55" s="1"/>
  <c r="D291" i="4"/>
  <c r="T291" i="55" s="1"/>
  <c r="V291" i="55" s="1"/>
  <c r="D120" i="4"/>
  <c r="T120" i="55" s="1"/>
  <c r="V120" i="55" s="1"/>
  <c r="D252" i="4"/>
  <c r="T252" i="55" s="1"/>
  <c r="V252" i="55" s="1"/>
  <c r="D131" i="4"/>
  <c r="T131" i="55" s="1"/>
  <c r="V131" i="55" s="1"/>
  <c r="D270" i="4"/>
  <c r="T270" i="55" s="1"/>
  <c r="V270" i="55" s="1"/>
  <c r="D166" i="4"/>
  <c r="T166" i="55" s="1"/>
  <c r="V166" i="55" s="1"/>
  <c r="D221" i="4"/>
  <c r="T221" i="55" s="1"/>
  <c r="V221" i="55" s="1"/>
  <c r="D17" i="4"/>
  <c r="T17" i="55" s="1"/>
  <c r="V17" i="55" s="1"/>
  <c r="D257" i="4"/>
  <c r="T257" i="55" s="1"/>
  <c r="V257" i="55" s="1"/>
  <c r="D67" i="4"/>
  <c r="T67" i="55" s="1"/>
  <c r="V67" i="55" s="1"/>
  <c r="D218" i="4"/>
  <c r="T218" i="55" s="1"/>
  <c r="V218" i="55" s="1"/>
  <c r="D192" i="4"/>
  <c r="T192" i="55" s="1"/>
  <c r="V192" i="55" s="1"/>
  <c r="D62" i="4"/>
  <c r="T62" i="55" s="1"/>
  <c r="V62" i="55" s="1"/>
  <c r="D100" i="4"/>
  <c r="T100" i="55" s="1"/>
  <c r="V100" i="55" s="1"/>
  <c r="D292" i="4"/>
  <c r="T292" i="55" s="1"/>
  <c r="V292" i="55" s="1"/>
  <c r="D68" i="4"/>
  <c r="T68" i="55" s="1"/>
  <c r="V68" i="55" s="1"/>
  <c r="D112" i="4"/>
  <c r="T112" i="55" s="1"/>
  <c r="D49" i="4"/>
  <c r="T49" i="55" s="1"/>
  <c r="V49" i="55" s="1"/>
  <c r="D177" i="4"/>
  <c r="T177" i="55" s="1"/>
  <c r="V177" i="55" s="1"/>
  <c r="D232" i="4"/>
  <c r="T232" i="55" s="1"/>
  <c r="V232" i="55" s="1"/>
  <c r="D28" i="4"/>
  <c r="T28" i="55" s="1"/>
  <c r="V28" i="55" s="1"/>
  <c r="D109" i="4"/>
  <c r="T109" i="55" s="1"/>
  <c r="V109" i="55" s="1"/>
  <c r="D152" i="4"/>
  <c r="T152" i="55" s="1"/>
  <c r="V152" i="55" s="1"/>
  <c r="D175" i="4"/>
  <c r="T175" i="55" s="1"/>
  <c r="V175" i="55" s="1"/>
  <c r="D93" i="4"/>
  <c r="T93" i="55" s="1"/>
  <c r="V93" i="55" s="1"/>
  <c r="D104" i="4"/>
  <c r="T104" i="55" s="1"/>
  <c r="V104" i="55" s="1"/>
  <c r="D205" i="4"/>
  <c r="T205" i="55" s="1"/>
  <c r="V205" i="55" s="1"/>
  <c r="D8" i="4"/>
  <c r="D217" i="4"/>
  <c r="T217" i="55" s="1"/>
  <c r="V217" i="55" s="1"/>
  <c r="D15" i="4"/>
  <c r="T15" i="55" s="1"/>
  <c r="V15" i="55" s="1"/>
  <c r="D29" i="4"/>
  <c r="T29" i="55" s="1"/>
  <c r="V29" i="55" s="1"/>
  <c r="D269" i="4"/>
  <c r="T269" i="55" s="1"/>
  <c r="V269" i="55" s="1"/>
  <c r="D30" i="4"/>
  <c r="T30" i="55" s="1"/>
  <c r="V30" i="55" s="1"/>
  <c r="D153" i="4"/>
  <c r="T153" i="55" s="1"/>
  <c r="V153" i="55" s="1"/>
  <c r="D27" i="4"/>
  <c r="T27" i="55" s="1"/>
  <c r="V27" i="55" s="1"/>
  <c r="D259" i="4"/>
  <c r="T259" i="55" s="1"/>
  <c r="V259" i="55" s="1"/>
  <c r="D161" i="4"/>
  <c r="T161" i="55" s="1"/>
  <c r="V161" i="55" s="1"/>
  <c r="D285" i="4"/>
  <c r="T285" i="55" s="1"/>
  <c r="V285" i="55" s="1"/>
  <c r="D290" i="4"/>
  <c r="T290" i="55" s="1"/>
  <c r="V290" i="55" s="1"/>
  <c r="D253" i="4"/>
  <c r="T253" i="55" s="1"/>
  <c r="V253" i="55" s="1"/>
  <c r="D278" i="4"/>
  <c r="T278" i="55" s="1"/>
  <c r="V278" i="55" s="1"/>
  <c r="D69" i="4"/>
  <c r="T69" i="55" s="1"/>
  <c r="V69" i="55" s="1"/>
  <c r="D284" i="4"/>
  <c r="T284" i="55" s="1"/>
  <c r="V284" i="55" s="1"/>
  <c r="D189" i="4"/>
  <c r="T189" i="55" s="1"/>
  <c r="V189" i="55" s="1"/>
  <c r="D191" i="4"/>
  <c r="T191" i="55" s="1"/>
  <c r="V191" i="55" s="1"/>
  <c r="D111" i="4"/>
  <c r="T111" i="55" s="1"/>
  <c r="V111" i="55" s="1"/>
  <c r="D301" i="4"/>
  <c r="T301" i="55" s="1"/>
  <c r="V301" i="55" s="1"/>
  <c r="D91" i="4"/>
  <c r="T91" i="55" s="1"/>
  <c r="V91" i="55" s="1"/>
  <c r="D235" i="4"/>
  <c r="T235" i="55" s="1"/>
  <c r="V235" i="55" s="1"/>
  <c r="D106" i="4"/>
  <c r="T106" i="55" s="1"/>
  <c r="V106" i="55" s="1"/>
  <c r="D179" i="4"/>
  <c r="T179" i="55" s="1"/>
  <c r="V179" i="55" s="1"/>
  <c r="D75" i="4"/>
  <c r="T75" i="55" s="1"/>
  <c r="V75" i="55" s="1"/>
  <c r="D147" i="4"/>
  <c r="T147" i="55" s="1"/>
  <c r="V147" i="55" s="1"/>
  <c r="D66" i="4"/>
  <c r="T66" i="55" s="1"/>
  <c r="V66" i="55" s="1"/>
  <c r="D203" i="4"/>
  <c r="T203" i="55" s="1"/>
  <c r="V203" i="55" s="1"/>
  <c r="D193" i="4"/>
  <c r="T193" i="55" s="1"/>
  <c r="V193" i="55" s="1"/>
  <c r="D9" i="4"/>
  <c r="T9" i="55" s="1"/>
  <c r="V9" i="55" s="1"/>
  <c r="D288" i="4"/>
  <c r="T288" i="55" s="1"/>
  <c r="V288" i="55" s="1"/>
  <c r="D108" i="4"/>
  <c r="T108" i="55" s="1"/>
  <c r="V108" i="55" s="1"/>
  <c r="D173" i="4"/>
  <c r="T173" i="55" s="1"/>
  <c r="V173" i="55" s="1"/>
  <c r="D14" i="4"/>
  <c r="T14" i="55" s="1"/>
  <c r="V14" i="55" s="1"/>
  <c r="D70" i="4"/>
  <c r="T70" i="55" s="1"/>
  <c r="V70" i="55" s="1"/>
  <c r="D263" i="4"/>
  <c r="T263" i="55" s="1"/>
  <c r="V263" i="55" s="1"/>
  <c r="D181" i="4"/>
  <c r="T181" i="55" s="1"/>
  <c r="V181" i="55" s="1"/>
  <c r="D170" i="4"/>
  <c r="T170" i="55" s="1"/>
  <c r="V170" i="55" s="1"/>
  <c r="D42" i="4"/>
  <c r="T42" i="55" s="1"/>
  <c r="V42" i="55" s="1"/>
  <c r="D226" i="4"/>
  <c r="T226" i="55" s="1"/>
  <c r="V226" i="55" s="1"/>
  <c r="D54" i="4"/>
  <c r="T54" i="55" s="1"/>
  <c r="V54" i="55" s="1"/>
  <c r="D148" i="4"/>
  <c r="T148" i="55" s="1"/>
  <c r="V148" i="55" s="1"/>
  <c r="D207" i="4"/>
  <c r="T207" i="55" s="1"/>
  <c r="V207" i="55" s="1"/>
  <c r="G34" i="45"/>
  <c r="G36" i="45" s="1"/>
  <c r="G37" i="45" s="1"/>
  <c r="D286" i="4"/>
  <c r="T286" i="55" s="1"/>
  <c r="V286" i="55" s="1"/>
  <c r="D245" i="4"/>
  <c r="T245" i="55" s="1"/>
  <c r="V245" i="55" s="1"/>
  <c r="D194" i="4"/>
  <c r="T194" i="55" s="1"/>
  <c r="V194" i="55" s="1"/>
  <c r="D151" i="4"/>
  <c r="T151" i="55" s="1"/>
  <c r="V151" i="55" s="1"/>
  <c r="D157" i="4"/>
  <c r="T157" i="55" s="1"/>
  <c r="V157" i="55" s="1"/>
  <c r="D240" i="4"/>
  <c r="T240" i="55" s="1"/>
  <c r="V240" i="55" s="1"/>
  <c r="D164" i="4"/>
  <c r="T164" i="55" s="1"/>
  <c r="V164" i="55" s="1"/>
  <c r="D113" i="4"/>
  <c r="T113" i="55" s="1"/>
  <c r="V113" i="55" s="1"/>
  <c r="D242" i="4"/>
  <c r="T242" i="55" s="1"/>
  <c r="V242" i="55" s="1"/>
  <c r="D283" i="4"/>
  <c r="T283" i="55" s="1"/>
  <c r="V283" i="55" s="1"/>
  <c r="D266" i="4"/>
  <c r="T266" i="55" s="1"/>
  <c r="V266" i="55" s="1"/>
  <c r="D81" i="4"/>
  <c r="T81" i="55" s="1"/>
  <c r="V81" i="55" s="1"/>
  <c r="D102" i="4"/>
  <c r="T102" i="55" s="1"/>
  <c r="V102" i="55" s="1"/>
  <c r="D134" i="4"/>
  <c r="T134" i="55" s="1"/>
  <c r="V134" i="55" s="1"/>
  <c r="D50" i="4"/>
  <c r="T50" i="55" s="1"/>
  <c r="V50" i="55" s="1"/>
  <c r="D255" i="4"/>
  <c r="T255" i="55" s="1"/>
  <c r="V255" i="55" s="1"/>
  <c r="D247" i="4"/>
  <c r="T247" i="55" s="1"/>
  <c r="V247" i="55" s="1"/>
  <c r="D282" i="4"/>
  <c r="T282" i="55" s="1"/>
  <c r="V282" i="55" s="1"/>
  <c r="D210" i="4"/>
  <c r="T210" i="55" s="1"/>
  <c r="V210" i="55" s="1"/>
  <c r="D182" i="4"/>
  <c r="T182" i="55" s="1"/>
  <c r="V182" i="55" s="1"/>
  <c r="D40" i="4"/>
  <c r="T40" i="55" s="1"/>
  <c r="V40" i="55" s="1"/>
  <c r="D222" i="4"/>
  <c r="T222" i="55" s="1"/>
  <c r="V222" i="55" s="1"/>
  <c r="D279" i="4"/>
  <c r="T279" i="55" s="1"/>
  <c r="V279" i="55" s="1"/>
  <c r="D11" i="4"/>
  <c r="T11" i="55" s="1"/>
  <c r="V11" i="55" s="1"/>
  <c r="D18" i="4"/>
  <c r="T18" i="55" s="1"/>
  <c r="V18" i="55" s="1"/>
  <c r="D141" i="4"/>
  <c r="T141" i="55" s="1"/>
  <c r="V141" i="55" s="1"/>
  <c r="D213" i="4"/>
  <c r="T213" i="55" s="1"/>
  <c r="V213" i="55" s="1"/>
  <c r="D138" i="4"/>
  <c r="T138" i="55" s="1"/>
  <c r="V138" i="55" s="1"/>
  <c r="D36" i="4"/>
  <c r="T36" i="55" s="1"/>
  <c r="V36" i="55" s="1"/>
  <c r="D224" i="4"/>
  <c r="T224" i="55" s="1"/>
  <c r="V224" i="55" s="1"/>
  <c r="D137" i="4"/>
  <c r="T137" i="55" s="1"/>
  <c r="V137" i="55" s="1"/>
  <c r="D287" i="4"/>
  <c r="T287" i="55" s="1"/>
  <c r="V287" i="55" s="1"/>
  <c r="D12" i="4"/>
  <c r="T12" i="55" s="1"/>
  <c r="V12" i="55" s="1"/>
  <c r="D155" i="4"/>
  <c r="T155" i="55" s="1"/>
  <c r="V155" i="55" s="1"/>
  <c r="D298" i="4"/>
  <c r="T298" i="55" s="1"/>
  <c r="V298" i="55" s="1"/>
  <c r="D251" i="4"/>
  <c r="T251" i="55" s="1"/>
  <c r="V251" i="55" s="1"/>
  <c r="D295" i="4"/>
  <c r="T295" i="55" s="1"/>
  <c r="V295" i="55" s="1"/>
  <c r="D198" i="4"/>
  <c r="T198" i="55" s="1"/>
  <c r="V198" i="55" s="1"/>
  <c r="D236" i="4"/>
  <c r="T236" i="55" s="1"/>
  <c r="V236" i="55" s="1"/>
  <c r="D94" i="4"/>
  <c r="T94" i="55" s="1"/>
  <c r="V94" i="55" s="1"/>
  <c r="D300" i="4"/>
  <c r="T300" i="55" s="1"/>
  <c r="V300" i="55" s="1"/>
  <c r="D150" i="4"/>
  <c r="T150" i="55" s="1"/>
  <c r="V150" i="55" s="1"/>
  <c r="D39" i="4"/>
  <c r="T39" i="55" s="1"/>
  <c r="V39" i="55" s="1"/>
  <c r="D34" i="4"/>
  <c r="T34" i="55" s="1"/>
  <c r="V34" i="55" s="1"/>
  <c r="D178" i="4"/>
  <c r="T178" i="55" s="1"/>
  <c r="V178" i="55" s="1"/>
  <c r="D133" i="4"/>
  <c r="T133" i="55" s="1"/>
  <c r="V133" i="55" s="1"/>
  <c r="D31" i="4"/>
  <c r="T31" i="55" s="1"/>
  <c r="V31" i="55" s="1"/>
  <c r="D37" i="4"/>
  <c r="T37" i="55" s="1"/>
  <c r="V37" i="55" s="1"/>
  <c r="D88" i="4"/>
  <c r="T88" i="55" s="1"/>
  <c r="V88" i="55" s="1"/>
  <c r="D195" i="4"/>
  <c r="T195" i="55" s="1"/>
  <c r="V195" i="55" s="1"/>
  <c r="D21" i="4"/>
  <c r="T21" i="55" s="1"/>
  <c r="V21" i="55" s="1"/>
  <c r="D299" i="4"/>
  <c r="T299" i="55" s="1"/>
  <c r="V299" i="55" s="1"/>
  <c r="D60" i="4"/>
  <c r="T60" i="55" s="1"/>
  <c r="V60" i="55" s="1"/>
  <c r="D163" i="4"/>
  <c r="T163" i="55" s="1"/>
  <c r="V163" i="55" s="1"/>
  <c r="D61" i="4"/>
  <c r="T61" i="55" s="1"/>
  <c r="V61" i="55" s="1"/>
  <c r="D51" i="4"/>
  <c r="T51" i="55" s="1"/>
  <c r="V51" i="55" s="1"/>
  <c r="D248" i="4"/>
  <c r="T248" i="55" s="1"/>
  <c r="V248" i="55" s="1"/>
  <c r="D277" i="4"/>
  <c r="T277" i="55" s="1"/>
  <c r="V277" i="55" s="1"/>
  <c r="D116" i="4"/>
  <c r="T116" i="55" s="1"/>
  <c r="V116" i="55" s="1"/>
  <c r="D114" i="4"/>
  <c r="T114" i="55" s="1"/>
  <c r="V114" i="55" s="1"/>
  <c r="D272" i="4"/>
  <c r="T272" i="55" s="1"/>
  <c r="V272" i="55" s="1"/>
  <c r="D267" i="4"/>
  <c r="T267" i="55" s="1"/>
  <c r="V267" i="55" s="1"/>
  <c r="D149" i="4"/>
  <c r="T149" i="55" s="1"/>
  <c r="V149" i="55" s="1"/>
  <c r="D162" i="4"/>
  <c r="T162" i="55" s="1"/>
  <c r="V162" i="55" s="1"/>
  <c r="D121" i="4"/>
  <c r="T121" i="55" s="1"/>
  <c r="V121" i="55" s="1"/>
  <c r="D145" i="4"/>
  <c r="T145" i="55" s="1"/>
  <c r="V145" i="55" s="1"/>
  <c r="D219" i="4"/>
  <c r="T219" i="55" s="1"/>
  <c r="V219" i="55" s="1"/>
  <c r="D45" i="4"/>
  <c r="T45" i="55" s="1"/>
  <c r="V45" i="55" s="1"/>
  <c r="D71" i="4"/>
  <c r="T71" i="55" s="1"/>
  <c r="V71" i="55" s="1"/>
  <c r="D101" i="4"/>
  <c r="T101" i="55" s="1"/>
  <c r="V101" i="55" s="1"/>
  <c r="D231" i="4"/>
  <c r="T231" i="55" s="1"/>
  <c r="V231" i="55" s="1"/>
  <c r="D139" i="4"/>
  <c r="T139" i="55" s="1"/>
  <c r="V139" i="55" s="1"/>
  <c r="D209" i="4"/>
  <c r="T209" i="55" s="1"/>
  <c r="V209" i="55" s="1"/>
  <c r="D115" i="4"/>
  <c r="T115" i="55" s="1"/>
  <c r="V115" i="55" s="1"/>
  <c r="D254" i="4"/>
  <c r="T254" i="55" s="1"/>
  <c r="V254" i="55" s="1"/>
  <c r="D98" i="4"/>
  <c r="T98" i="55" s="1"/>
  <c r="V98" i="55" s="1"/>
  <c r="D297" i="4"/>
  <c r="T297" i="55" s="1"/>
  <c r="V297" i="55" s="1"/>
  <c r="D223" i="4"/>
  <c r="T223" i="55" s="1"/>
  <c r="V223" i="55" s="1"/>
  <c r="D273" i="4"/>
  <c r="T273" i="55" s="1"/>
  <c r="V273" i="55" s="1"/>
  <c r="D238" i="4"/>
  <c r="T238" i="55" s="1"/>
  <c r="V238" i="55" s="1"/>
  <c r="D227" i="4"/>
  <c r="T227" i="55" s="1"/>
  <c r="V227" i="55" s="1"/>
  <c r="D90" i="4"/>
  <c r="T90" i="55" s="1"/>
  <c r="V90" i="55" s="1"/>
  <c r="D159" i="4"/>
  <c r="T159" i="55" s="1"/>
  <c r="V159" i="55" s="1"/>
  <c r="D103" i="4"/>
  <c r="T103" i="55" s="1"/>
  <c r="V103" i="55" s="1"/>
  <c r="D63" i="4"/>
  <c r="T63" i="55" s="1"/>
  <c r="V63" i="55" s="1"/>
  <c r="D171" i="4"/>
  <c r="T171" i="55" s="1"/>
  <c r="V171" i="55" s="1"/>
  <c r="D212" i="4"/>
  <c r="T212" i="55" s="1"/>
  <c r="V212" i="55" s="1"/>
  <c r="D233" i="4"/>
  <c r="T233" i="55" s="1"/>
  <c r="V233" i="55" s="1"/>
  <c r="D183" i="4"/>
  <c r="T183" i="55" s="1"/>
  <c r="V183" i="55" s="1"/>
  <c r="D26" i="4"/>
  <c r="T26" i="55" s="1"/>
  <c r="V26" i="55" s="1"/>
  <c r="D56" i="4"/>
  <c r="T56" i="55" s="1"/>
  <c r="V56" i="55" s="1"/>
  <c r="D276" i="4"/>
  <c r="T276" i="55" s="1"/>
  <c r="V276" i="55" s="1"/>
  <c r="D52" i="4"/>
  <c r="T52" i="55" s="1"/>
  <c r="V52" i="55" s="1"/>
  <c r="D83" i="4"/>
  <c r="T83" i="55" s="1"/>
  <c r="V83" i="55" s="1"/>
  <c r="D229" i="4"/>
  <c r="T229" i="55" s="1"/>
  <c r="V229" i="55" s="1"/>
  <c r="D261" i="4"/>
  <c r="T261" i="55" s="1"/>
  <c r="V261" i="55" s="1"/>
  <c r="D24" i="4"/>
  <c r="T24" i="55" s="1"/>
  <c r="V24" i="55" s="1"/>
  <c r="D200" i="4"/>
  <c r="T200" i="55" s="1"/>
  <c r="V200" i="55" s="1"/>
  <c r="D92" i="4"/>
  <c r="T92" i="55" s="1"/>
  <c r="V92" i="55" s="1"/>
  <c r="D158" i="4"/>
  <c r="T158" i="55" s="1"/>
  <c r="V158" i="55" s="1"/>
  <c r="D281" i="4"/>
  <c r="T281" i="55" s="1"/>
  <c r="V281" i="55" s="1"/>
  <c r="D57" i="4"/>
  <c r="T57" i="55" s="1"/>
  <c r="V57" i="55" s="1"/>
  <c r="D260" i="4"/>
  <c r="T260" i="55" s="1"/>
  <c r="V260" i="55" s="1"/>
  <c r="D76" i="4"/>
  <c r="T76" i="55" s="1"/>
  <c r="V76" i="55" s="1"/>
  <c r="D19" i="4"/>
  <c r="T19" i="55" s="1"/>
  <c r="V19" i="55" s="1"/>
  <c r="D197" i="4"/>
  <c r="T197" i="55" s="1"/>
  <c r="V197" i="55" s="1"/>
  <c r="D190" i="4"/>
  <c r="T190" i="55" s="1"/>
  <c r="V190" i="55" s="1"/>
  <c r="D16" i="4"/>
  <c r="T16" i="55" s="1"/>
  <c r="V16" i="55" s="1"/>
  <c r="D201" i="4"/>
  <c r="T201" i="55" s="1"/>
  <c r="V201" i="55" s="1"/>
  <c r="D249" i="4"/>
  <c r="T249" i="55" s="1"/>
  <c r="V249" i="55" s="1"/>
  <c r="D225" i="4"/>
  <c r="T225" i="55" s="1"/>
  <c r="V225" i="55" s="1"/>
  <c r="D186" i="4"/>
  <c r="T186" i="55" s="1"/>
  <c r="V186" i="55" s="1"/>
  <c r="D140" i="4"/>
  <c r="T140" i="55" s="1"/>
  <c r="V140" i="55" s="1"/>
  <c r="D237" i="4"/>
  <c r="T237" i="55" s="1"/>
  <c r="V237" i="55" s="1"/>
  <c r="D23" i="4"/>
  <c r="T23" i="55" s="1"/>
  <c r="V23" i="55" s="1"/>
  <c r="D72" i="4"/>
  <c r="T72" i="55" s="1"/>
  <c r="V72" i="55" s="1"/>
  <c r="D13" i="4"/>
  <c r="T13" i="55" s="1"/>
  <c r="V13" i="55" s="1"/>
  <c r="D43" i="4"/>
  <c r="T43" i="55" s="1"/>
  <c r="V43" i="55" s="1"/>
  <c r="D136" i="4"/>
  <c r="T136" i="55" s="1"/>
  <c r="V136" i="55" s="1"/>
  <c r="D99" i="4"/>
  <c r="T99" i="55" s="1"/>
  <c r="V99" i="55" s="1"/>
  <c r="D256" i="4"/>
  <c r="T256" i="55" s="1"/>
  <c r="V256" i="55" s="1"/>
  <c r="D156" i="4"/>
  <c r="T156" i="55" s="1"/>
  <c r="V156" i="55" s="1"/>
  <c r="D246" i="4"/>
  <c r="T246" i="55" s="1"/>
  <c r="V246" i="55" s="1"/>
  <c r="D228" i="4"/>
  <c r="T228" i="55" s="1"/>
  <c r="V228" i="55" s="1"/>
  <c r="D59" i="4"/>
  <c r="T59" i="55" s="1"/>
  <c r="V59" i="55" s="1"/>
  <c r="D107" i="4"/>
  <c r="T107" i="55" s="1"/>
  <c r="V107" i="55" s="1"/>
  <c r="D122" i="4"/>
  <c r="T122" i="55" s="1"/>
  <c r="V122" i="55" s="1"/>
  <c r="D127" i="4"/>
  <c r="T127" i="55" s="1"/>
  <c r="V127" i="55" s="1"/>
  <c r="D294" i="4"/>
  <c r="T294" i="55" s="1"/>
  <c r="V294" i="55" s="1"/>
  <c r="D123" i="4"/>
  <c r="T123" i="55" s="1"/>
  <c r="V123" i="55" s="1"/>
  <c r="D180" i="4"/>
  <c r="T180" i="55" s="1"/>
  <c r="V180" i="55" s="1"/>
  <c r="D105" i="4"/>
  <c r="T105" i="55" s="1"/>
  <c r="V105" i="55" s="1"/>
  <c r="D53" i="4"/>
  <c r="T53" i="55" s="1"/>
  <c r="V53" i="55" s="1"/>
  <c r="D48" i="4"/>
  <c r="T48" i="55" s="1"/>
  <c r="V48" i="55" s="1"/>
  <c r="D33" i="4"/>
  <c r="T33" i="55" s="1"/>
  <c r="V33" i="55" s="1"/>
  <c r="D234" i="4"/>
  <c r="T234" i="55" s="1"/>
  <c r="V234" i="55" s="1"/>
  <c r="D86" i="4"/>
  <c r="T86" i="55" s="1"/>
  <c r="V86" i="55" s="1"/>
  <c r="D25" i="4"/>
  <c r="T25" i="55" s="1"/>
  <c r="V25" i="55" s="1"/>
  <c r="D74" i="4"/>
  <c r="T74" i="55" s="1"/>
  <c r="V74" i="55" s="1"/>
  <c r="D265" i="4"/>
  <c r="T265" i="55" s="1"/>
  <c r="V265" i="55" s="1"/>
  <c r="D168" i="4"/>
  <c r="T168" i="55" s="1"/>
  <c r="V168" i="55" s="1"/>
  <c r="D165" i="4"/>
  <c r="T165" i="55" s="1"/>
  <c r="V165" i="55" s="1"/>
  <c r="D160" i="4"/>
  <c r="T160" i="55" s="1"/>
  <c r="V160" i="55" s="1"/>
  <c r="D243" i="4"/>
  <c r="T243" i="55" s="1"/>
  <c r="V243" i="55" s="1"/>
  <c r="D271" i="4"/>
  <c r="T271" i="55" s="1"/>
  <c r="V271" i="55" s="1"/>
  <c r="D215" i="4"/>
  <c r="T215" i="55" s="1"/>
  <c r="V215" i="55" s="1"/>
  <c r="D188" i="4"/>
  <c r="T188" i="55" s="1"/>
  <c r="V188" i="55" s="1"/>
  <c r="D22" i="4"/>
  <c r="T22" i="55" s="1"/>
  <c r="V22" i="55" s="1"/>
  <c r="D204" i="4"/>
  <c r="T204" i="55" s="1"/>
  <c r="V204" i="55" s="1"/>
  <c r="D128" i="4"/>
  <c r="T128" i="55" s="1"/>
  <c r="V128" i="55" s="1"/>
  <c r="D118" i="4"/>
  <c r="T118" i="55" s="1"/>
  <c r="V118" i="55" s="1"/>
  <c r="D78" i="4"/>
  <c r="T78" i="55" s="1"/>
  <c r="V78" i="55" s="1"/>
  <c r="D130" i="4"/>
  <c r="T130" i="55" s="1"/>
  <c r="V130" i="55" s="1"/>
  <c r="D146" i="4"/>
  <c r="T146" i="55" s="1"/>
  <c r="V146" i="55" s="1"/>
  <c r="D65" i="4"/>
  <c r="T65" i="55" s="1"/>
  <c r="V65" i="55" s="1"/>
  <c r="D144" i="4"/>
  <c r="T144" i="55" s="1"/>
  <c r="V144" i="55" s="1"/>
  <c r="D280" i="4"/>
  <c r="T280" i="55" s="1"/>
  <c r="V280" i="55" s="1"/>
  <c r="D154" i="4"/>
  <c r="T154" i="55" s="1"/>
  <c r="V154" i="55" s="1"/>
  <c r="D124" i="4"/>
  <c r="T124" i="55" s="1"/>
  <c r="V124" i="55" s="1"/>
  <c r="D185" i="4"/>
  <c r="T185" i="55" s="1"/>
  <c r="V185" i="55" s="1"/>
  <c r="D55" i="4"/>
  <c r="T55" i="55" s="1"/>
  <c r="V55" i="55" s="1"/>
  <c r="D20" i="4"/>
  <c r="T20" i="55" s="1"/>
  <c r="V20" i="55" s="1"/>
  <c r="D125" i="4"/>
  <c r="T125" i="55" s="1"/>
  <c r="V125" i="55" s="1"/>
  <c r="D32" i="4"/>
  <c r="T32" i="55" s="1"/>
  <c r="V32" i="55" s="1"/>
  <c r="D241" i="4"/>
  <c r="T241" i="55" s="1"/>
  <c r="V241" i="55" s="1"/>
  <c r="D79" i="4"/>
  <c r="T79" i="55" s="1"/>
  <c r="V79" i="55" s="1"/>
  <c r="D196" i="4"/>
  <c r="T196" i="55" s="1"/>
  <c r="V196" i="55" s="1"/>
  <c r="D89" i="4"/>
  <c r="T89" i="55" s="1"/>
  <c r="V89" i="55" s="1"/>
  <c r="D35" i="4"/>
  <c r="T35" i="55" s="1"/>
  <c r="V35" i="55" s="1"/>
  <c r="D96" i="4"/>
  <c r="T96" i="55" s="1"/>
  <c r="V96" i="55" s="1"/>
  <c r="D176" i="4"/>
  <c r="T176" i="55" s="1"/>
  <c r="V176" i="55" s="1"/>
  <c r="D82" i="4"/>
  <c r="T82" i="55" s="1"/>
  <c r="V82" i="55" s="1"/>
  <c r="D258" i="4"/>
  <c r="T258" i="55" s="1"/>
  <c r="V258" i="55" s="1"/>
  <c r="D41" i="4"/>
  <c r="T41" i="55" s="1"/>
  <c r="V41" i="55" s="1"/>
  <c r="D187" i="4"/>
  <c r="T187" i="55" s="1"/>
  <c r="V187" i="55" s="1"/>
  <c r="D126" i="4"/>
  <c r="T126" i="55" s="1"/>
  <c r="V126" i="55" s="1"/>
  <c r="D80" i="4"/>
  <c r="T80" i="55" s="1"/>
  <c r="V80" i="55" s="1"/>
  <c r="D135" i="4"/>
  <c r="T135" i="55" s="1"/>
  <c r="V135" i="55" s="1"/>
  <c r="D44" i="4"/>
  <c r="T44" i="55" s="1"/>
  <c r="V44" i="55" s="1"/>
  <c r="D268" i="4"/>
  <c r="T268" i="55" s="1"/>
  <c r="V268" i="55" s="1"/>
  <c r="D95" i="4"/>
  <c r="T95" i="55" s="1"/>
  <c r="V95" i="55" s="1"/>
  <c r="D10" i="4"/>
  <c r="T10" i="55" s="1"/>
  <c r="V10" i="55" s="1"/>
  <c r="D293" i="4"/>
  <c r="T293" i="55" s="1"/>
  <c r="V293" i="55" s="1"/>
  <c r="D296" i="4"/>
  <c r="T296" i="55" s="1"/>
  <c r="V296" i="55" s="1"/>
  <c r="D87" i="4"/>
  <c r="T87" i="55" s="1"/>
  <c r="V87" i="55" s="1"/>
  <c r="D132" i="4"/>
  <c r="T132" i="55" s="1"/>
  <c r="V132" i="55" s="1"/>
  <c r="D262" i="4"/>
  <c r="T262" i="55" s="1"/>
  <c r="V262" i="55" s="1"/>
  <c r="D38" i="4"/>
  <c r="T38" i="55" s="1"/>
  <c r="V38" i="55" s="1"/>
  <c r="D84" i="4"/>
  <c r="T84" i="55" s="1"/>
  <c r="V84" i="55" s="1"/>
  <c r="D202" i="4"/>
  <c r="T202" i="55" s="1"/>
  <c r="V202" i="55" s="1"/>
  <c r="D119" i="4"/>
  <c r="T119" i="55" s="1"/>
  <c r="V119" i="55" s="1"/>
  <c r="D47" i="4"/>
  <c r="T47" i="55" s="1"/>
  <c r="V47" i="55" s="1"/>
  <c r="D275" i="4"/>
  <c r="T275" i="55" s="1"/>
  <c r="V275" i="55" s="1"/>
  <c r="D73" i="4"/>
  <c r="T73" i="55" s="1"/>
  <c r="V73" i="55" s="1"/>
  <c r="D46" i="4"/>
  <c r="T46" i="55" s="1"/>
  <c r="V46" i="55" s="1"/>
  <c r="D274" i="4"/>
  <c r="T274" i="55" s="1"/>
  <c r="V274" i="55" s="1"/>
  <c r="D220" i="4"/>
  <c r="T220" i="55" s="1"/>
  <c r="V220" i="55" s="1"/>
  <c r="D110" i="4"/>
  <c r="T110" i="55" s="1"/>
  <c r="V110" i="55" s="1"/>
  <c r="D174" i="4"/>
  <c r="T174" i="55" s="1"/>
  <c r="V174" i="55" s="1"/>
  <c r="D239" i="4"/>
  <c r="T239" i="55" s="1"/>
  <c r="V239" i="55" s="1"/>
  <c r="V112" i="55" l="1"/>
  <c r="E24" i="57"/>
  <c r="T8" i="55"/>
  <c r="D302" i="4"/>
  <c r="H24" i="57" l="1"/>
  <c r="E30" i="57"/>
  <c r="H30" i="57" s="1"/>
  <c r="T302" i="55"/>
  <c r="V8" i="55"/>
  <c r="V302" i="55" s="1"/>
  <c r="V6" i="5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<sst xmlns="http://schemas.openxmlformats.org/spreadsheetml/2006/main" count="1895" uniqueCount="603">
  <si>
    <t>OFS</t>
  </si>
  <si>
    <t>Communes</t>
  </si>
  <si>
    <t>Péréquation des ressources</t>
  </si>
  <si>
    <t>Impôt sur le revenu</t>
  </si>
  <si>
    <t>Impôt sur la fortune</t>
  </si>
  <si>
    <t>Impôt sur le bénéfice</t>
  </si>
  <si>
    <t>Impôt sur le capital</t>
  </si>
  <si>
    <t>Impôt sur la dépense</t>
  </si>
  <si>
    <t>Impôt à la source</t>
  </si>
  <si>
    <t>Impôt foncier</t>
  </si>
  <si>
    <t>À verser (+) ou à recevoir (-)</t>
  </si>
  <si>
    <t>Dotation minimale</t>
  </si>
  <si>
    <t>Net</t>
  </si>
  <si>
    <t>À recevoir</t>
  </si>
  <si>
    <t>À payer</t>
  </si>
  <si>
    <t>Taux</t>
  </si>
  <si>
    <t>p/hab</t>
  </si>
  <si>
    <t>Impôt foncier standardisé</t>
  </si>
  <si>
    <t>Impôts avec taux standardisé</t>
  </si>
  <si>
    <t>Taux standard impôt foncier</t>
  </si>
  <si>
    <t>Prélèvements conjoncturels</t>
  </si>
  <si>
    <t>Total</t>
  </si>
  <si>
    <t>Bas</t>
  </si>
  <si>
    <t>Haut</t>
  </si>
  <si>
    <t>Police</t>
  </si>
  <si>
    <t>Totaux</t>
  </si>
  <si>
    <t>-</t>
  </si>
  <si>
    <t>Autres</t>
  </si>
  <si>
    <t>Forfait</t>
  </si>
  <si>
    <t>Population</t>
  </si>
  <si>
    <t>Surface productive</t>
  </si>
  <si>
    <t>Solidarité</t>
  </si>
  <si>
    <t>Péréquation des besoins structurels</t>
  </si>
  <si>
    <t>Facture policière</t>
  </si>
  <si>
    <t>Participation à la cohésion sociale (PCS)</t>
  </si>
  <si>
    <t>Imputation forfaitaire</t>
  </si>
  <si>
    <t>Pondération</t>
  </si>
  <si>
    <t>Redistribution par habitant</t>
  </si>
  <si>
    <t>Droits de mutation</t>
  </si>
  <si>
    <t>Successions et donations</t>
  </si>
  <si>
    <t>Gains immobiliers</t>
  </si>
  <si>
    <t>Frontaliers</t>
  </si>
  <si>
    <t>Elèves</t>
  </si>
  <si>
    <t>Elèves pondérés</t>
  </si>
  <si>
    <t>Pertes débiteurs</t>
  </si>
  <si>
    <t>Hectares excédentaires</t>
  </si>
  <si>
    <t>Paramètre (p)</t>
  </si>
  <si>
    <t>Médiane * p</t>
  </si>
  <si>
    <t>Moyenne * p</t>
  </si>
  <si>
    <t>Population à l'interieur du palier</t>
  </si>
  <si>
    <t>Paliers de population</t>
  </si>
  <si>
    <t>Montant</t>
  </si>
  <si>
    <t>Surface de référence</t>
  </si>
  <si>
    <t>Elèves pondérés de référence</t>
  </si>
  <si>
    <t>Impôts récupérés après défalcation</t>
  </si>
  <si>
    <t>Impôt imm. des sociétés</t>
  </si>
  <si>
    <t>Coefficient moyen pondéré</t>
  </si>
  <si>
    <t>Revenu fiscal standardisé</t>
  </si>
  <si>
    <t>Moyenne</t>
  </si>
  <si>
    <t xml:space="preserve">Ecart à la moyenne </t>
  </si>
  <si>
    <t>Population
pondérée</t>
  </si>
  <si>
    <t>Population des
délégatrices</t>
  </si>
  <si>
    <t>Socle sécuritaire commun</t>
  </si>
  <si>
    <t>Part délégatrices selon population</t>
  </si>
  <si>
    <t>Part délégatrices selon population pondérée</t>
  </si>
  <si>
    <t>Revenu fiscal standardisé (RFS)</t>
  </si>
  <si>
    <t>Aigle</t>
  </si>
  <si>
    <t>Morges</t>
  </si>
  <si>
    <t>Nyon</t>
  </si>
  <si>
    <t>Lausanne</t>
  </si>
  <si>
    <t>Le Mont-sur-Lausanne</t>
  </si>
  <si>
    <t>Cette commune a un revenu fiscal standardisé par habitant de CHF</t>
  </si>
  <si>
    <t>Le revenu fiscal standardisé par habitant moyen est de CHF</t>
  </si>
  <si>
    <t>L'écart est de CHF</t>
  </si>
  <si>
    <t>Population :</t>
  </si>
  <si>
    <t>Avant péréquation des ressources, le revenu fiscal standardisé par habitant de cette commune exprimé en pourcent du revenu fiscal standardisé par habitant moyen était de</t>
  </si>
  <si>
    <t>En montant absolu, cela répresente CHF</t>
  </si>
  <si>
    <t>Mutrux</t>
  </si>
  <si>
    <r>
      <t xml:space="preserve">Péréquation des besoins structurels </t>
    </r>
    <r>
      <rPr>
        <i/>
        <sz val="13"/>
        <color theme="1"/>
        <rFont val="Calibri"/>
        <family val="2"/>
        <scheme val="minor"/>
      </rPr>
      <t>(surface productive)</t>
    </r>
  </si>
  <si>
    <t>Cette commune a une surface productive (en hectares) de</t>
  </si>
  <si>
    <r>
      <t xml:space="preserve">Péréquation des besoins structurels </t>
    </r>
    <r>
      <rPr>
        <i/>
        <sz val="13"/>
        <color theme="1"/>
        <rFont val="Calibri"/>
        <family val="2"/>
        <scheme val="minor"/>
      </rPr>
      <t>(élèves pondérés)</t>
    </r>
  </si>
  <si>
    <t>Cette commune compte le nombre suivant d'élèves</t>
  </si>
  <si>
    <t>Nombre</t>
  </si>
  <si>
    <t>Population entre 0 et 1'000</t>
  </si>
  <si>
    <t>Population entre 1'001 et 3'000</t>
  </si>
  <si>
    <t>Population entre 3'001 et 12'000</t>
  </si>
  <si>
    <t>Population entre 12'001 et 15'000</t>
  </si>
  <si>
    <t>Population entre 15'001 et 30'000</t>
  </si>
  <si>
    <t>Population entre 30'001 et 45'000</t>
  </si>
  <si>
    <t>Population au-délà de 45'000</t>
  </si>
  <si>
    <t>Montant p/hab</t>
  </si>
  <si>
    <t>Les montants versés par la couche population sont financés par l'ensemble des communes avec une répartition en francs par habitant. La contribution de cette commune est de CHF</t>
  </si>
  <si>
    <r>
      <t xml:space="preserve">Charges particulières des villes </t>
    </r>
    <r>
      <rPr>
        <i/>
        <sz val="13"/>
        <color theme="1"/>
        <rFont val="Calibri"/>
        <family val="2"/>
        <scheme val="minor"/>
      </rPr>
      <t>(couche population)</t>
    </r>
  </si>
  <si>
    <r>
      <t xml:space="preserve">Charges particulières des villes </t>
    </r>
    <r>
      <rPr>
        <i/>
        <sz val="13"/>
        <color theme="1"/>
        <rFont val="Calibri"/>
        <family val="2"/>
        <scheme val="minor"/>
      </rPr>
      <t>(déficits des lignes de trafic urbain)</t>
    </r>
  </si>
  <si>
    <t>La participation de cette commune au financement des déficits des lignes de trafic urbain, comme définies dans la LMTP, est de CHF</t>
  </si>
  <si>
    <t>Les montants versés par cette compensation sont financés par l'ensemble des communes avec une répartition en francs par habitant. La contribution de cette commune est de CHF</t>
  </si>
  <si>
    <t>En francs par habitant, le montant de la PCS est de CHF</t>
  </si>
  <si>
    <t>Le montant total de la facture policière est de CHF</t>
  </si>
  <si>
    <t>35% de la facture correspond au socle sécuritaire commun. Il est pris en charge par l'ensemble des communes. En francs par habitant, le montant de ce socle commun est de CHF</t>
  </si>
  <si>
    <t>Après les effets du rééquilibrage financier en faveur des communes, le montant total de la PCS à charge des communes est de CHF</t>
  </si>
  <si>
    <t>NB : les montants en vert sont à recevoir et les montants en rouge à verser</t>
  </si>
  <si>
    <t>Château-d'Oex</t>
  </si>
  <si>
    <t>Ursins</t>
  </si>
  <si>
    <t>Yverdon-les-Bains</t>
  </si>
  <si>
    <t>Payerne</t>
  </si>
  <si>
    <t>Bex</t>
  </si>
  <si>
    <t>Chessel</t>
  </si>
  <si>
    <t>Corbeyrier</t>
  </si>
  <si>
    <t>Gryon</t>
  </si>
  <si>
    <t>Lavey-Morcles</t>
  </si>
  <si>
    <t>Leysin</t>
  </si>
  <si>
    <t>Noville</t>
  </si>
  <si>
    <t>Ollon</t>
  </si>
  <si>
    <t>Ormont-Dessous</t>
  </si>
  <si>
    <t>Ormont-Dessus</t>
  </si>
  <si>
    <t>Rennaz</t>
  </si>
  <si>
    <t>Roche</t>
  </si>
  <si>
    <t>Villeneuve</t>
  </si>
  <si>
    <t>Yvorne</t>
  </si>
  <si>
    <t>Aubonne</t>
  </si>
  <si>
    <t>Berolle</t>
  </si>
  <si>
    <t>Bière</t>
  </si>
  <si>
    <t>Bougy-Villars</t>
  </si>
  <si>
    <t>Féchy</t>
  </si>
  <si>
    <t>Gimel</t>
  </si>
  <si>
    <t>Longirod</t>
  </si>
  <si>
    <t>Marchissy</t>
  </si>
  <si>
    <t>Mollens</t>
  </si>
  <si>
    <t>Saint-George</t>
  </si>
  <si>
    <t>Saint-Livres</t>
  </si>
  <si>
    <t>Saint-Oyens</t>
  </si>
  <si>
    <t>Saubraz</t>
  </si>
  <si>
    <t>Avenches</t>
  </si>
  <si>
    <t>Cudrefin</t>
  </si>
  <si>
    <t>Faoug</t>
  </si>
  <si>
    <t>Vully-les-Lacs</t>
  </si>
  <si>
    <t>Bettens</t>
  </si>
  <si>
    <t>Bournens</t>
  </si>
  <si>
    <t>Boussens</t>
  </si>
  <si>
    <t>La Chaux (Cossonay)</t>
  </si>
  <si>
    <t>Chavannes-le-Veyron</t>
  </si>
  <si>
    <t>Chevilly</t>
  </si>
  <si>
    <t>Cossonay</t>
  </si>
  <si>
    <t>Cuarnens</t>
  </si>
  <si>
    <t>Daillens</t>
  </si>
  <si>
    <t>Dizy</t>
  </si>
  <si>
    <t>Eclépens</t>
  </si>
  <si>
    <t>Ferreyres</t>
  </si>
  <si>
    <t>Gollion</t>
  </si>
  <si>
    <t>Grancy</t>
  </si>
  <si>
    <t>L'Isle</t>
  </si>
  <si>
    <t>Lussery-Villars</t>
  </si>
  <si>
    <t>Mauraz</t>
  </si>
  <si>
    <t>Mex</t>
  </si>
  <si>
    <t>Moiry</t>
  </si>
  <si>
    <t>Mont-la-Ville</t>
  </si>
  <si>
    <t>Montricher</t>
  </si>
  <si>
    <t>Orny</t>
  </si>
  <si>
    <t>Penthalaz</t>
  </si>
  <si>
    <t>Penthaz</t>
  </si>
  <si>
    <t>Pompaples</t>
  </si>
  <si>
    <t>La Sarraz</t>
  </si>
  <si>
    <t>Senarclens</t>
  </si>
  <si>
    <t>Sullens</t>
  </si>
  <si>
    <t>Vufflens-la-Ville</t>
  </si>
  <si>
    <t>Assens</t>
  </si>
  <si>
    <t>Bercher</t>
  </si>
  <si>
    <t>Bottens</t>
  </si>
  <si>
    <t>Bretigny-sur-Morrens</t>
  </si>
  <si>
    <t>Cugy</t>
  </si>
  <si>
    <t>Echallens</t>
  </si>
  <si>
    <t>Essertines-sur-Yverdon</t>
  </si>
  <si>
    <t>Etagnières</t>
  </si>
  <si>
    <t>Fey</t>
  </si>
  <si>
    <t>Froideville</t>
  </si>
  <si>
    <t>Morrens</t>
  </si>
  <si>
    <t>Oulens-sous-Echallens</t>
  </si>
  <si>
    <t>Pailly</t>
  </si>
  <si>
    <t>Penthéréaz</t>
  </si>
  <si>
    <t>Poliez-Pittet</t>
  </si>
  <si>
    <t>Rueyres</t>
  </si>
  <si>
    <t>Saint-Barthélemy</t>
  </si>
  <si>
    <t>Villars-le-Terroir</t>
  </si>
  <si>
    <t>Vuarrens</t>
  </si>
  <si>
    <t>Montilliez</t>
  </si>
  <si>
    <t>Goumoëns</t>
  </si>
  <si>
    <t>Bonvillars</t>
  </si>
  <si>
    <t>Bullet</t>
  </si>
  <si>
    <t>Champagne</t>
  </si>
  <si>
    <t>Concise</t>
  </si>
  <si>
    <t>Corcelles-près-Concise</t>
  </si>
  <si>
    <t>Fiez</t>
  </si>
  <si>
    <t>Fontaines-sur-Grandson</t>
  </si>
  <si>
    <t>Giez</t>
  </si>
  <si>
    <t>Grandevent</t>
  </si>
  <si>
    <t>Grandson</t>
  </si>
  <si>
    <t>Mauborget</t>
  </si>
  <si>
    <t>Novalles</t>
  </si>
  <si>
    <t>Onnens</t>
  </si>
  <si>
    <t>Provence</t>
  </si>
  <si>
    <t>Sainte-Croix</t>
  </si>
  <si>
    <t>Tévenon</t>
  </si>
  <si>
    <t>Belmont-sur-Lausanne</t>
  </si>
  <si>
    <t>Cheseaux-sur-Lausanne</t>
  </si>
  <si>
    <t>Crissier</t>
  </si>
  <si>
    <t>Epalinges</t>
  </si>
  <si>
    <t>Jouxtens-Mézery</t>
  </si>
  <si>
    <t>Paudex</t>
  </si>
  <si>
    <t>Prilly</t>
  </si>
  <si>
    <t>Pully</t>
  </si>
  <si>
    <t>Renens</t>
  </si>
  <si>
    <t>Romanel-sur-Lausanne</t>
  </si>
  <si>
    <t>Chexbres</t>
  </si>
  <si>
    <t>Forel (Lavaux)</t>
  </si>
  <si>
    <t>Lutry</t>
  </si>
  <si>
    <t>Puidoux</t>
  </si>
  <si>
    <t>Rivaz</t>
  </si>
  <si>
    <t>St-Saphorin (Lavaux)</t>
  </si>
  <si>
    <t>Savigny</t>
  </si>
  <si>
    <t>Bourg-en-Lavaux</t>
  </si>
  <si>
    <t>Aclens</t>
  </si>
  <si>
    <t>Bremblens</t>
  </si>
  <si>
    <t>Buchillon</t>
  </si>
  <si>
    <t>Bussigny</t>
  </si>
  <si>
    <t>Chavannes-près-Renens</t>
  </si>
  <si>
    <t>Chigny</t>
  </si>
  <si>
    <t>Clarmont</t>
  </si>
  <si>
    <t>Denens</t>
  </si>
  <si>
    <t>Denges</t>
  </si>
  <si>
    <t>Echandens</t>
  </si>
  <si>
    <t>Echichens</t>
  </si>
  <si>
    <t>Ecublens</t>
  </si>
  <si>
    <t>Etoy</t>
  </si>
  <si>
    <t>Lavigny</t>
  </si>
  <si>
    <t>Lonay</t>
  </si>
  <si>
    <t>Lully</t>
  </si>
  <si>
    <t>Lussy-sur-Morges</t>
  </si>
  <si>
    <t>Préverenges</t>
  </si>
  <si>
    <t>Romanel-sur-Morges</t>
  </si>
  <si>
    <t>Saint-Prex</t>
  </si>
  <si>
    <t>Saint-Sulpice</t>
  </si>
  <si>
    <t>Tolochenaz</t>
  </si>
  <si>
    <t>Vaux-sur-Morges</t>
  </si>
  <si>
    <t>Villars-Sainte-Croix</t>
  </si>
  <si>
    <t>Villars-sous-Yens</t>
  </si>
  <si>
    <t>Vufflens-le-Château</t>
  </si>
  <si>
    <t>Vullierens</t>
  </si>
  <si>
    <t>Yens</t>
  </si>
  <si>
    <t>Hautemorges</t>
  </si>
  <si>
    <t>Boulens</t>
  </si>
  <si>
    <t>Bussy-sur-Moudon</t>
  </si>
  <si>
    <t>Chavannes-sur-Moudon</t>
  </si>
  <si>
    <t>Curtilles</t>
  </si>
  <si>
    <t>Dompierre</t>
  </si>
  <si>
    <t>Hermenches</t>
  </si>
  <si>
    <t>Lovatens</t>
  </si>
  <si>
    <t>Lucens</t>
  </si>
  <si>
    <t>Moudon</t>
  </si>
  <si>
    <t>Ogens</t>
  </si>
  <si>
    <t>Prévonloup</t>
  </si>
  <si>
    <t>Rossenges</t>
  </si>
  <si>
    <t>Syens</t>
  </si>
  <si>
    <t>Villars-le-Comte</t>
  </si>
  <si>
    <t>Vucherens</t>
  </si>
  <si>
    <t>Montanaire</t>
  </si>
  <si>
    <t>Arnex-sur-Nyon</t>
  </si>
  <si>
    <t>Arzier-Le Muids</t>
  </si>
  <si>
    <t>Begnins</t>
  </si>
  <si>
    <t>Bogis-Bossey</t>
  </si>
  <si>
    <t>Borex</t>
  </si>
  <si>
    <t>Chavannes-de-Bogis</t>
  </si>
  <si>
    <t>Chavannes-des-Bois</t>
  </si>
  <si>
    <t>Chéserex</t>
  </si>
  <si>
    <t>Coinsins</t>
  </si>
  <si>
    <t>Commugny</t>
  </si>
  <si>
    <t>Coppet</t>
  </si>
  <si>
    <t>Crans</t>
  </si>
  <si>
    <t>Crassier</t>
  </si>
  <si>
    <t>Duillier</t>
  </si>
  <si>
    <t>Eysins</t>
  </si>
  <si>
    <t>Founex</t>
  </si>
  <si>
    <t>Genolier</t>
  </si>
  <si>
    <t>Gingins</t>
  </si>
  <si>
    <t>Givrins</t>
  </si>
  <si>
    <t>Gland</t>
  </si>
  <si>
    <t>Grens</t>
  </si>
  <si>
    <t>Mies</t>
  </si>
  <si>
    <t>Prangins</t>
  </si>
  <si>
    <t>La Rippe</t>
  </si>
  <si>
    <t>Saint-Cergue</t>
  </si>
  <si>
    <t>Signy-Avenex</t>
  </si>
  <si>
    <t>Tannay</t>
  </si>
  <si>
    <t>Trélex</t>
  </si>
  <si>
    <t>Le Vaud</t>
  </si>
  <si>
    <t>Vich</t>
  </si>
  <si>
    <t>L'Abergement</t>
  </si>
  <si>
    <t>Agiez</t>
  </si>
  <si>
    <t>Arnex-sur-Orbe</t>
  </si>
  <si>
    <t>Ballaigues</t>
  </si>
  <si>
    <t>Baulmes</t>
  </si>
  <si>
    <t>Bavois</t>
  </si>
  <si>
    <t>Bofflens</t>
  </si>
  <si>
    <t>Bretonnières</t>
  </si>
  <si>
    <t>Chavornay</t>
  </si>
  <si>
    <t>Les Clées</t>
  </si>
  <si>
    <t>Croy</t>
  </si>
  <si>
    <t>Juriens</t>
  </si>
  <si>
    <t>Lignerolle</t>
  </si>
  <si>
    <t>Montcherand</t>
  </si>
  <si>
    <t>Orbe</t>
  </si>
  <si>
    <t>La Praz</t>
  </si>
  <si>
    <t>Premier</t>
  </si>
  <si>
    <t>Rances</t>
  </si>
  <si>
    <t>Romainmôtier-Envy</t>
  </si>
  <si>
    <t>Sergey</t>
  </si>
  <si>
    <t>Valeyres-sous-Rances</t>
  </si>
  <si>
    <t>Vallorbe</t>
  </si>
  <si>
    <t>Vaulion</t>
  </si>
  <si>
    <t>Vuiteboeuf</t>
  </si>
  <si>
    <t>Corcelles-le-Jorat</t>
  </si>
  <si>
    <t>Maracon</t>
  </si>
  <si>
    <t>Montpreveyres</t>
  </si>
  <si>
    <t>Ropraz</t>
  </si>
  <si>
    <t>Servion</t>
  </si>
  <si>
    <t>Vulliens</t>
  </si>
  <si>
    <t>Jorat-Menthue</t>
  </si>
  <si>
    <t>Oron</t>
  </si>
  <si>
    <t>Jorat-Mézières</t>
  </si>
  <si>
    <t>Champtauroz</t>
  </si>
  <si>
    <t>Chevroux</t>
  </si>
  <si>
    <t>Corcelles-près-Payerne</t>
  </si>
  <si>
    <t>Grandcour</t>
  </si>
  <si>
    <t>Henniez</t>
  </si>
  <si>
    <t>Missy</t>
  </si>
  <si>
    <t>Trey</t>
  </si>
  <si>
    <t>Treytorrens (Payerne)</t>
  </si>
  <si>
    <t>Villarzel</t>
  </si>
  <si>
    <t>Valbroye</t>
  </si>
  <si>
    <t>Rossinière</t>
  </si>
  <si>
    <t>Rougemont</t>
  </si>
  <si>
    <t>Allaman</t>
  </si>
  <si>
    <t>Bursinel</t>
  </si>
  <si>
    <t>Bursins</t>
  </si>
  <si>
    <t>Burtigny</t>
  </si>
  <si>
    <t>Dully</t>
  </si>
  <si>
    <t>Essertines-sur-Rolle</t>
  </si>
  <si>
    <t>Gilly</t>
  </si>
  <si>
    <t>Luins</t>
  </si>
  <si>
    <t>Mont-sur-Rolle</t>
  </si>
  <si>
    <t>Perroy</t>
  </si>
  <si>
    <t>Rolle</t>
  </si>
  <si>
    <t>Tartegnin</t>
  </si>
  <si>
    <t>Vinzel</t>
  </si>
  <si>
    <t>L'Abbaye</t>
  </si>
  <si>
    <t>Le Chenit</t>
  </si>
  <si>
    <t>Le Lieu</t>
  </si>
  <si>
    <t>Chardonne</t>
  </si>
  <si>
    <t>Corseaux</t>
  </si>
  <si>
    <t>Corsier-sur-Vevey</t>
  </si>
  <si>
    <t>Jongny</t>
  </si>
  <si>
    <t>Montreux</t>
  </si>
  <si>
    <t>La Tour-de-Peilz</t>
  </si>
  <si>
    <t>Vevey</t>
  </si>
  <si>
    <t>Veytaux</t>
  </si>
  <si>
    <t>Blonay-Saint-Légier</t>
  </si>
  <si>
    <t>Belmont-sur-Yverdon</t>
  </si>
  <si>
    <t>Bioley-Magnoux</t>
  </si>
  <si>
    <t>Chamblon</t>
  </si>
  <si>
    <t>Champvent</t>
  </si>
  <si>
    <t>Chavannes-le-Chêne</t>
  </si>
  <si>
    <t>Chêne-Pâquier</t>
  </si>
  <si>
    <t>Cheseaux-Noréaz</t>
  </si>
  <si>
    <t>Cronay</t>
  </si>
  <si>
    <t>Cuarny</t>
  </si>
  <si>
    <t>Démoret</t>
  </si>
  <si>
    <t>Donneloye</t>
  </si>
  <si>
    <t>Ependes</t>
  </si>
  <si>
    <t>Mathod</t>
  </si>
  <si>
    <t>Molondin</t>
  </si>
  <si>
    <t>Montagny-près-Yverdon</t>
  </si>
  <si>
    <t>Oppens</t>
  </si>
  <si>
    <t>Orges</t>
  </si>
  <si>
    <t>Orzens</t>
  </si>
  <si>
    <t>Pomy</t>
  </si>
  <si>
    <t>Rovray</t>
  </si>
  <si>
    <t>Suchy</t>
  </si>
  <si>
    <t>Suscévaz</t>
  </si>
  <si>
    <t>Treycovagnes</t>
  </si>
  <si>
    <t>Valeyres-sous-Montagny</t>
  </si>
  <si>
    <t>Valeyres-sous-Ursins</t>
  </si>
  <si>
    <t>Villars-Epeney</t>
  </si>
  <si>
    <t>Vugelles-La Mothe</t>
  </si>
  <si>
    <t>Yvonand</t>
  </si>
  <si>
    <t>Commune :</t>
  </si>
  <si>
    <t>2020/2025</t>
  </si>
  <si>
    <t>…dont distants</t>
  </si>
  <si>
    <r>
      <t xml:space="preserve">Le nombre d'élèves </t>
    </r>
    <r>
      <rPr>
        <sz val="11"/>
        <color rgb="FF00B0F0"/>
        <rFont val="Calibri"/>
        <family val="2"/>
        <scheme val="minor"/>
      </rPr>
      <t>pondéré</t>
    </r>
    <r>
      <rPr>
        <sz val="11"/>
        <color theme="1"/>
        <rFont val="Calibri"/>
        <family val="2"/>
        <scheme val="minor"/>
      </rPr>
      <t xml:space="preserve"> de la commune est de</t>
    </r>
  </si>
  <si>
    <t>Paramètres</t>
  </si>
  <si>
    <t>Participation à la cohésion sociale</t>
  </si>
  <si>
    <t>Données</t>
  </si>
  <si>
    <t>Taux de compensation</t>
  </si>
  <si>
    <t>% de la moyenne</t>
  </si>
  <si>
    <t>RFS p/hab</t>
  </si>
  <si>
    <t>IPC juin 2021</t>
  </si>
  <si>
    <t>Pourcentage de prélèvement</t>
  </si>
  <si>
    <t>Montant de la facture policière</t>
  </si>
  <si>
    <t>Forfait indexé</t>
  </si>
  <si>
    <t>Pondération élèves distants</t>
  </si>
  <si>
    <t>Forfait par hectare</t>
  </si>
  <si>
    <t>Forfait par élève</t>
  </si>
  <si>
    <t>Forfait p/hab en altitude</t>
  </si>
  <si>
    <t>Ballens</t>
  </si>
  <si>
    <t>Bassins</t>
  </si>
  <si>
    <t>Communes de A à Z</t>
  </si>
  <si>
    <t>Population en altitude</t>
  </si>
  <si>
    <t>Contrôle</t>
  </si>
  <si>
    <t>Altitude de référence</t>
  </si>
  <si>
    <t>Territoire en pente</t>
  </si>
  <si>
    <t>Compensation</t>
  </si>
  <si>
    <t>Lignes de trafic urbain</t>
  </si>
  <si>
    <t>Couche population</t>
  </si>
  <si>
    <t>Facturation (+) / défacturation (-) ad hoc</t>
  </si>
  <si>
    <t>Vue d'ensemble</t>
  </si>
  <si>
    <t>Déficits des lignes de trafic urbain</t>
  </si>
  <si>
    <t>(Dé-)facturation ad hoc</t>
  </si>
  <si>
    <t>Le nombre d'élèves domiciliés à plus de 2,5 km de leur école (distance effective par chemins et/ou routes) est en revanche de</t>
  </si>
  <si>
    <r>
      <t xml:space="preserve">Péréquation des ressources </t>
    </r>
    <r>
      <rPr>
        <i/>
        <sz val="13"/>
        <color theme="1"/>
        <rFont val="Calibri"/>
        <family val="2"/>
        <scheme val="minor"/>
      </rPr>
      <t>(dotation minimale)</t>
    </r>
  </si>
  <si>
    <t>Compensation des charges particulières des villes</t>
  </si>
  <si>
    <r>
      <t xml:space="preserve">Péréquation des ressources </t>
    </r>
    <r>
      <rPr>
        <i/>
        <sz val="13"/>
        <color theme="1"/>
        <rFont val="Calibri"/>
        <family val="2"/>
        <scheme val="minor"/>
      </rPr>
      <t>(Prélèvements conjoncturels)</t>
    </r>
  </si>
  <si>
    <r>
      <t xml:space="preserve">Péréquation des ressources </t>
    </r>
    <r>
      <rPr>
        <i/>
        <sz val="13"/>
        <color theme="1"/>
        <rFont val="Calibri"/>
        <family val="2"/>
        <scheme val="minor"/>
      </rPr>
      <t>(solidarité principale)</t>
    </r>
  </si>
  <si>
    <t>Solidarité principale</t>
  </si>
  <si>
    <r>
      <t xml:space="preserve">Péréquation des besoins structurels </t>
    </r>
    <r>
      <rPr>
        <i/>
        <sz val="13"/>
        <color theme="1"/>
        <rFont val="Calibri"/>
        <family val="2"/>
        <scheme val="minor"/>
      </rPr>
      <t>(population en altitude)</t>
    </r>
  </si>
  <si>
    <r>
      <rPr>
        <b/>
        <sz val="8"/>
        <color theme="1"/>
        <rFont val="Calibri"/>
        <family val="2"/>
        <scheme val="minor"/>
      </rPr>
      <t xml:space="preserve">Revenu fiscal standardisé (RFS)
</t>
    </r>
    <r>
      <rPr>
        <sz val="8"/>
        <color theme="1"/>
        <rFont val="Calibri"/>
        <family val="2"/>
        <scheme val="minor"/>
      </rPr>
      <t>Recettes fiscales que la commune générerait en
appliquant le coefficient d'imposition moyen pondéré
et un taux standard d'impôt foncier de 1‰</t>
    </r>
  </si>
  <si>
    <t>Surface par habitant</t>
  </si>
  <si>
    <t>Elèves par habitant</t>
  </si>
  <si>
    <t>Le nombre de personnes résidant en altitude de la commune est de</t>
  </si>
  <si>
    <r>
      <rPr>
        <b/>
        <sz val="8"/>
        <color theme="1"/>
        <rFont val="Calibri"/>
        <family val="2"/>
        <scheme val="minor"/>
      </rPr>
      <t xml:space="preserve">Personne résidant en altitude
</t>
    </r>
    <r>
      <rPr>
        <sz val="8"/>
        <color theme="1"/>
        <rFont val="Calibri"/>
        <family val="2"/>
        <scheme val="minor"/>
      </rPr>
      <t>Personne domiciliée dans la commune dont le lieu de
résidence principale est sis à une altitude de 730m ou plus</t>
    </r>
  </si>
  <si>
    <t>Année</t>
  </si>
  <si>
    <t>Objet</t>
  </si>
  <si>
    <t>Imputation forfaitaire (IIES)</t>
  </si>
  <si>
    <t>Contrôle = 0</t>
  </si>
  <si>
    <t>← Précédent</t>
  </si>
  <si>
    <t>Table des matières</t>
  </si>
  <si>
    <t>Suivant →</t>
  </si>
  <si>
    <t>Répartitions de charges</t>
  </si>
  <si>
    <t>R</t>
  </si>
  <si>
    <t>B</t>
  </si>
  <si>
    <t>V</t>
  </si>
  <si>
    <t>Péréquation des ressources (R)</t>
  </si>
  <si>
    <t>Péréquation des besoins structurels (B)</t>
  </si>
  <si>
    <t>Compensation des charges des villes (V)</t>
  </si>
  <si>
    <t>Péréquation intercommunale</t>
  </si>
  <si>
    <t>Synthèse</t>
  </si>
  <si>
    <t>Paramètre</t>
  </si>
  <si>
    <r>
      <t xml:space="preserve">Détail du rééquilibrage financier </t>
    </r>
    <r>
      <rPr>
        <sz val="9"/>
        <color theme="1"/>
        <rFont val="Calibri"/>
        <family val="2"/>
        <scheme val="minor"/>
      </rPr>
      <t>(art. 17b LOF)</t>
    </r>
  </si>
  <si>
    <r>
      <t>Facture policière</t>
    </r>
    <r>
      <rPr>
        <sz val="9"/>
        <color theme="1"/>
        <rFont val="Calibri"/>
        <family val="2"/>
        <scheme val="minor"/>
      </rPr>
      <t xml:space="preserve"> (art. 45 LOPV)</t>
    </r>
  </si>
  <si>
    <r>
      <t xml:space="preserve">Facture 2025 </t>
    </r>
    <r>
      <rPr>
        <sz val="9"/>
        <color theme="1"/>
        <rFont val="Calibri"/>
        <family val="2"/>
        <scheme val="minor"/>
      </rPr>
      <t>(al. 1)</t>
    </r>
  </si>
  <si>
    <r>
      <t xml:space="preserve">Indexation annuelle </t>
    </r>
    <r>
      <rPr>
        <sz val="9"/>
        <color theme="1"/>
        <rFont val="Calibri"/>
        <family val="2"/>
        <scheme val="minor"/>
      </rPr>
      <t>(al. 1)</t>
    </r>
  </si>
  <si>
    <r>
      <t xml:space="preserve">Socle commun </t>
    </r>
    <r>
      <rPr>
        <sz val="9"/>
        <color theme="1"/>
        <rFont val="Calibri"/>
        <family val="2"/>
        <scheme val="minor"/>
      </rPr>
      <t>(al. 2 let. b)</t>
    </r>
  </si>
  <si>
    <r>
      <t xml:space="preserve">Selon population </t>
    </r>
    <r>
      <rPr>
        <sz val="9"/>
        <color theme="1"/>
        <rFont val="Calibri"/>
        <family val="2"/>
        <scheme val="minor"/>
      </rPr>
      <t>(al. 3 let. a)</t>
    </r>
  </si>
  <si>
    <r>
      <t xml:space="preserve">Selon population pondérée </t>
    </r>
    <r>
      <rPr>
        <sz val="9"/>
        <color theme="1"/>
        <rFont val="Calibri"/>
        <family val="2"/>
        <scheme val="minor"/>
      </rPr>
      <t>(al. 3 let. b)</t>
    </r>
  </si>
  <si>
    <r>
      <t xml:space="preserve">Compensation transitoire </t>
    </r>
    <r>
      <rPr>
        <sz val="9"/>
        <color theme="1"/>
        <rFont val="Calibri"/>
        <family val="2"/>
        <scheme val="minor"/>
      </rPr>
      <t>(selon décret)</t>
    </r>
  </si>
  <si>
    <t>LOF</t>
  </si>
  <si>
    <t>LOPV</t>
  </si>
  <si>
    <t>Décret</t>
  </si>
  <si>
    <r>
      <t xml:space="preserve">Couche population </t>
    </r>
    <r>
      <rPr>
        <sz val="9"/>
        <color theme="1"/>
        <rFont val="Calibri"/>
        <family val="2"/>
        <scheme val="minor"/>
      </rPr>
      <t>(art. 15 LPIV)</t>
    </r>
    <r>
      <rPr>
        <b/>
        <sz val="12"/>
        <color theme="1"/>
        <rFont val="Calibri"/>
        <family val="2"/>
        <scheme val="minor"/>
      </rPr>
      <t xml:space="preserve"> et population pondérée pour la facture policière </t>
    </r>
    <r>
      <rPr>
        <sz val="9"/>
        <color theme="1"/>
        <rFont val="Calibri"/>
        <family val="2"/>
        <scheme val="minor"/>
      </rPr>
      <t xml:space="preserve"> (art. 45 al. 3 let. b LOPV)</t>
    </r>
  </si>
  <si>
    <t>Compensation des charges des villes</t>
  </si>
  <si>
    <t>Synthèse et recherche</t>
  </si>
  <si>
    <t>Données de base</t>
  </si>
  <si>
    <t>Paramètres et données</t>
  </si>
  <si>
    <t>N° OFS :</t>
  </si>
  <si>
    <t>La part du territoire de cette commune avec une déclivité de 35% ou plus est de</t>
  </si>
  <si>
    <t>Facture
policière</t>
  </si>
  <si>
    <t>Péréquation
des besoins</t>
  </si>
  <si>
    <t>Péréquation
des ressources</t>
  </si>
  <si>
    <t>Compensation
des villes</t>
  </si>
  <si>
    <t>Compensation
transitoire</t>
  </si>
  <si>
    <t>Péréquation au sens strict</t>
  </si>
  <si>
    <r>
      <t xml:space="preserve">Total du rééquilibrage </t>
    </r>
    <r>
      <rPr>
        <sz val="9"/>
        <color theme="1"/>
        <rFont val="Calibri"/>
        <family val="2"/>
        <scheme val="minor"/>
      </rPr>
      <t>(al. 1)</t>
    </r>
  </si>
  <si>
    <t>Pondération police</t>
  </si>
  <si>
    <t>Population
en altitude</t>
  </si>
  <si>
    <t>Année des données (surface)</t>
  </si>
  <si>
    <t>C</t>
  </si>
  <si>
    <t>À recevoir (arrondi)</t>
  </si>
  <si>
    <t>Total péréquation et factures cantonales</t>
  </si>
  <si>
    <t>N° OFS</t>
  </si>
  <si>
    <t>Détail par commune</t>
  </si>
  <si>
    <t>PCS</t>
  </si>
  <si>
    <t>Total de la péréquation des besoins structurels</t>
  </si>
  <si>
    <t>Compensation transitoire (C)</t>
  </si>
  <si>
    <t>Montant en CHF</t>
  </si>
  <si>
    <t>Pond.</t>
  </si>
  <si>
    <t>Gestion système</t>
  </si>
  <si>
    <t>à recevoir (arrondi)</t>
  </si>
  <si>
    <t>Contrôle égaux</t>
  </si>
  <si>
    <t>RFS p/hab
avec solidarité</t>
  </si>
  <si>
    <t>Montant de la participation à répartir entre les communes en fonction de leur population</t>
  </si>
  <si>
    <t>Synthèse par commune</t>
  </si>
  <si>
    <t>Compensation "surface productive"</t>
  </si>
  <si>
    <t>Compensation "population en altitude"</t>
  </si>
  <si>
    <t>Compensation "elèves pondérés"</t>
  </si>
  <si>
    <t>Compensation des déficits des lignes de trafic urbain</t>
  </si>
  <si>
    <t>Compensation des charges particulières des villes (V)</t>
  </si>
  <si>
    <t>Total Péréquation (R + B + V + C)</t>
  </si>
  <si>
    <t>Paramètrage de la feuille de calcul et références aux bases légales</t>
  </si>
  <si>
    <t>Données concernant toutes les communes utilisées dans les calculs</t>
  </si>
  <si>
    <t>Calcul du revenu fiscal standardisé à la base de la péréquation des ressources</t>
  </si>
  <si>
    <t>Répartition de charges faisant participer les communes au financement des dépenses engagées par le canton en faveur de la cohésion sociale</t>
  </si>
  <si>
    <t>Synthèse des transferts générés par la péréquation et les répartitions de charges</t>
  </si>
  <si>
    <t>Synthèse des transferts pour une commune au choix</t>
  </si>
  <si>
    <t>Illustration détaillée des transferts pour une commune au choix</t>
  </si>
  <si>
    <t>Répartition de charges relatives aux missions générales de police (MGP) accomplies par la police cantonale en faveur et / ou à la place des communes</t>
  </si>
  <si>
    <t>Total péréquation et factures cantonales :</t>
  </si>
  <si>
    <t>Compensation transitoire</t>
  </si>
  <si>
    <t>Pop. pondérée des délégatrices</t>
  </si>
  <si>
    <t>RLPIV</t>
  </si>
  <si>
    <t>Population à l'intérieur du palier</t>
  </si>
  <si>
    <r>
      <t xml:space="preserve">Participation à la cohésion sociale </t>
    </r>
    <r>
      <rPr>
        <sz val="9"/>
        <color theme="1"/>
        <rFont val="Calibri"/>
        <family val="2"/>
        <scheme val="minor"/>
      </rPr>
      <t>(art. 17 LOF)</t>
    </r>
  </si>
  <si>
    <t>Avec police (référence 2025)</t>
  </si>
  <si>
    <t>par habitant (délégatrices)</t>
  </si>
  <si>
    <t>par habitant pondéré (délégatrices)</t>
  </si>
  <si>
    <t>par habitant (canton)</t>
  </si>
  <si>
    <r>
      <t xml:space="preserve">Reprise PCS </t>
    </r>
    <r>
      <rPr>
        <sz val="9"/>
        <color theme="1"/>
        <rFont val="Calibri"/>
        <family val="2"/>
        <scheme val="minor"/>
      </rPr>
      <t>(al. 2 let. a)</t>
    </r>
  </si>
  <si>
    <r>
      <t xml:space="preserve">Reprise AAS </t>
    </r>
    <r>
      <rPr>
        <sz val="9"/>
        <color theme="1"/>
        <rFont val="Calibri"/>
        <family val="2"/>
        <scheme val="minor"/>
      </rPr>
      <t>(al. 2 let. b)</t>
    </r>
  </si>
  <si>
    <r>
      <t xml:space="preserve">Péréquation verticale </t>
    </r>
    <r>
      <rPr>
        <sz val="9"/>
        <color theme="1"/>
        <rFont val="Calibri"/>
        <family val="2"/>
        <scheme val="minor"/>
      </rPr>
      <t>(al. 2 let. d)</t>
    </r>
  </si>
  <si>
    <r>
      <t xml:space="preserve">Solde à déduire de la PCS </t>
    </r>
    <r>
      <rPr>
        <sz val="9"/>
        <color theme="1"/>
        <rFont val="Calibri"/>
        <family val="2"/>
        <scheme val="minor"/>
      </rPr>
      <t>(al. 3)</t>
    </r>
  </si>
  <si>
    <t>Pilier de la péréquation visant à atténuer les disparités fiscales entre les communes consécutives à des différences de capacité financière</t>
  </si>
  <si>
    <t>RFFA</t>
  </si>
  <si>
    <t>Loi du 24 novembre 2003 sur l'organisation et le financement de la politique sociale</t>
  </si>
  <si>
    <t>Loi du 13 septembre 2011 sur l'organisation policière vaudoise</t>
  </si>
  <si>
    <t>Décret du 4 juin 2024 octroyant une compensation transitoire aux communes désavantagées par le nouveau système</t>
  </si>
  <si>
    <t>Loi du 4 juin 2024 sur la péréquation intercommunale</t>
  </si>
  <si>
    <t>Part des communes délégatrices</t>
  </si>
  <si>
    <t>Déficit à compenser</t>
  </si>
  <si>
    <t>Déficit du trafic urbain (budget)</t>
  </si>
  <si>
    <t>Déficit du trafic urbain (solde)</t>
  </si>
  <si>
    <t>dont</t>
  </si>
  <si>
    <t>Règlement du 15 janvier 2025 d'application de la loi sur la péréquation intercommunale</t>
  </si>
  <si>
    <t>Manco</t>
  </si>
  <si>
    <t>Cible</t>
  </si>
  <si>
    <t>Recettes fiscales</t>
  </si>
  <si>
    <t>Autres données</t>
  </si>
  <si>
    <t>Taux impôt foncier</t>
  </si>
  <si>
    <t>RFS par habitant (commune)</t>
  </si>
  <si>
    <t>Données par commune</t>
  </si>
  <si>
    <t>Impôt immeubles des sociétés</t>
  </si>
  <si>
    <t>Elèves distants</t>
  </si>
  <si>
    <t>Compensation RFFA</t>
  </si>
  <si>
    <t>Corrections (amendes fiscales)</t>
  </si>
  <si>
    <t>Total des recettes fiscales</t>
  </si>
  <si>
    <t>Rendement fiscal standardisé (RFS)</t>
  </si>
  <si>
    <t>Elèves scolarisés</t>
  </si>
  <si>
    <t>Coefficient communal</t>
  </si>
  <si>
    <t>Taux d'imposition fiscaux</t>
  </si>
  <si>
    <t>Synthèse des données de référence par commune</t>
  </si>
  <si>
    <t>Pilier de la péréquation tenant compte des charges particulières des villes à travers
une compensation progressive en fonction de la population et une compensation proportionnelle aux déficits des lignes de trafic urbain</t>
  </si>
  <si>
    <t>Les prélèvements sur les impôts conjoncturels de l'ensemble des communes sont répartis entre elles en francs par habitant. Cette commune a donc droit à un montant de CHF</t>
  </si>
  <si>
    <t>RFS par habitant (moyenne cantonale)</t>
  </si>
  <si>
    <t>Effet nouvelle clé de répartition (17%)</t>
  </si>
  <si>
    <t>LPIV</t>
  </si>
  <si>
    <t>Compensation p/hab en altitude</t>
  </si>
  <si>
    <t>Elèves à compenser</t>
  </si>
  <si>
    <t>Solde</t>
  </si>
  <si>
    <t>OK</t>
  </si>
  <si>
    <t>Décompte prévisionnel 2025</t>
  </si>
  <si>
    <t>Socle sécuritaire</t>
  </si>
  <si>
    <t/>
  </si>
  <si>
    <t>Dotation</t>
  </si>
  <si>
    <t>2020</t>
  </si>
  <si>
    <r>
      <rPr>
        <sz val="11"/>
        <color theme="1"/>
        <rFont val="Calibri"/>
        <family val="2"/>
        <scheme val="minor"/>
      </rPr>
      <t>Base 12.2020</t>
    </r>
    <r>
      <rPr>
        <i/>
        <sz val="9"/>
        <color theme="1"/>
        <rFont val="Calibri"/>
        <family val="2"/>
        <scheme val="minor"/>
      </rPr>
      <t xml:space="preserve">  </t>
    </r>
    <r>
      <rPr>
        <sz val="9"/>
        <color theme="1"/>
        <rFont val="Calibri"/>
        <family val="2"/>
        <scheme val="minor"/>
      </rPr>
      <t>(Art. 19 al. 3 LPIV)</t>
    </r>
  </si>
  <si>
    <t>Territoire en déclivité</t>
  </si>
  <si>
    <t>Part du territoire en déclivité</t>
  </si>
  <si>
    <t>Montant sans rééquilibrage</t>
  </si>
  <si>
    <t>Montant facturé (avec rééquilibrage)</t>
  </si>
  <si>
    <t>Total des impôts</t>
  </si>
  <si>
    <t>Corrections</t>
  </si>
  <si>
    <t>pour éléves distants</t>
  </si>
  <si>
    <t>pour nombre d'élèves</t>
  </si>
  <si>
    <t>Table des
matières</t>
  </si>
  <si>
    <r>
      <t xml:space="preserve">Gestion du système </t>
    </r>
    <r>
      <rPr>
        <sz val="9"/>
        <color theme="1"/>
        <rFont val="Calibri"/>
        <family val="2"/>
        <scheme val="minor"/>
      </rPr>
      <t>(art. 27 LPIV)</t>
    </r>
  </si>
  <si>
    <r>
      <t xml:space="preserve">Frontaliers </t>
    </r>
    <r>
      <rPr>
        <sz val="9"/>
        <color theme="1"/>
        <rFont val="Calibri"/>
        <family val="2"/>
        <scheme val="minor"/>
      </rPr>
      <t>(art. 8 al. 1 let. b LPIV)</t>
    </r>
  </si>
  <si>
    <r>
      <t xml:space="preserve">Droits de mutation, gains immobiliers, successions/donations </t>
    </r>
    <r>
      <rPr>
        <sz val="9"/>
        <color theme="1"/>
        <rFont val="Calibri"/>
        <family val="2"/>
        <scheme val="minor"/>
      </rPr>
      <t xml:space="preserve">(art. 8 al. 1 let. a LPIV) </t>
    </r>
  </si>
  <si>
    <r>
      <t xml:space="preserve">Taux standard impôt foncier
</t>
    </r>
    <r>
      <rPr>
        <sz val="9"/>
        <color theme="1"/>
        <rFont val="Calibri"/>
        <family val="2"/>
        <scheme val="minor"/>
      </rPr>
      <t>(art. 2 al. 1 let. a LPIV)</t>
    </r>
  </si>
  <si>
    <r>
      <t xml:space="preserve">Dotation minimale </t>
    </r>
    <r>
      <rPr>
        <sz val="9"/>
        <color theme="1"/>
        <rFont val="Calibri"/>
        <family val="2"/>
        <scheme val="minor"/>
      </rPr>
      <t>(art. 7 LPIV)</t>
    </r>
  </si>
  <si>
    <r>
      <t xml:space="preserve">Taux de solidarité </t>
    </r>
    <r>
      <rPr>
        <sz val="9"/>
        <color theme="1"/>
        <rFont val="Calibri"/>
        <family val="2"/>
        <scheme val="minor"/>
      </rPr>
      <t>(art. 6 LPIV)</t>
    </r>
  </si>
  <si>
    <r>
      <t xml:space="preserve">Total financement vertical </t>
    </r>
    <r>
      <rPr>
        <sz val="9"/>
        <color theme="1"/>
        <rFont val="Calibri"/>
        <family val="2"/>
        <scheme val="minor"/>
      </rPr>
      <t>(art. 17 al. 2 LPIV)</t>
    </r>
  </si>
  <si>
    <t>Total de la compensation RFFA</t>
  </si>
  <si>
    <r>
      <t>Besoins structurels : surface productive</t>
    </r>
    <r>
      <rPr>
        <b/>
        <sz val="10"/>
        <color theme="1"/>
        <rFont val="Calibri"/>
        <family val="2"/>
        <scheme val="minor"/>
      </rPr>
      <t xml:space="preserve"> </t>
    </r>
    <r>
      <rPr>
        <sz val="9"/>
        <color theme="1"/>
        <rFont val="Calibri"/>
        <family val="2"/>
        <scheme val="minor"/>
      </rPr>
      <t>(art. 11 LPIV)</t>
    </r>
  </si>
  <si>
    <r>
      <t xml:space="preserve">Lignes de trafic urbain </t>
    </r>
    <r>
      <rPr>
        <sz val="9"/>
        <color theme="1"/>
        <rFont val="Calibri"/>
        <family val="2"/>
        <scheme val="minor"/>
      </rPr>
      <t>(art. 14 LPIV)</t>
    </r>
  </si>
  <si>
    <r>
      <t>Besoins structurels : altitude / déclivité</t>
    </r>
    <r>
      <rPr>
        <sz val="12"/>
        <color theme="1"/>
        <rFont val="Calibri"/>
        <family val="2"/>
        <scheme val="minor"/>
      </rPr>
      <t xml:space="preserve"> </t>
    </r>
    <r>
      <rPr>
        <sz val="9"/>
        <color theme="1"/>
        <rFont val="Calibri"/>
        <family val="2"/>
        <scheme val="minor"/>
      </rPr>
      <t>(art. 12 LPIV)</t>
    </r>
  </si>
  <si>
    <r>
      <t xml:space="preserve">Besoins structurels : élèves pondérés </t>
    </r>
    <r>
      <rPr>
        <sz val="9"/>
        <color theme="1"/>
        <rFont val="Calibri"/>
        <family val="2"/>
        <scheme val="minor"/>
      </rPr>
      <t>(art. 13 LPIV)</t>
    </r>
  </si>
  <si>
    <t>* Ne tient pas compte des arrangements
survenus en cours d'année</t>
  </si>
  <si>
    <t>Pilier de la péréquation visant à atténuer les disparités de charges entre les communes dues à des facteurs structurels (surface productive, population en altitude et élèves)</t>
  </si>
  <si>
    <t>Impôt récupéré après défalcation</t>
  </si>
  <si>
    <t>Selon décompte prévisionnel*</t>
  </si>
  <si>
    <t>+ à payer et
- à recevoir</t>
  </si>
  <si>
    <t>Décompte prévisionnel</t>
  </si>
  <si>
    <t>Mathod-Suscévaz</t>
  </si>
  <si>
    <t>La Vallée de Joux</t>
  </si>
  <si>
    <t>Revenus corrigés des éléments extraordinaires</t>
  </si>
  <si>
    <t>Communes fusionnées 2027</t>
  </si>
  <si>
    <t>Déclivité de référence</t>
  </si>
  <si>
    <t>Changement en cours d'année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</si>
</sst>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0"/>
    <numFmt numFmtId="165" formatCode="0.0%"/>
    <numFmt numFmtId="166" formatCode="#,##0.0"/>
    <numFmt numFmtId="167" formatCode="#,##0\ &quot;CHF&quot;"/>
    <numFmt numFmtId="168" formatCode="#,##0_ ;\-#,##0\ "/>
    <numFmt numFmtId="169" formatCode="#,##0.000"/>
    <numFmt numFmtId="170" formatCode="0.000"/>
  </numFmts>
  <fonts count="6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20"/>
      <color theme="1"/>
      <name val="Calibri"/>
      <family val="2"/>
      <scheme val="minor"/>
    </font>
    <font>
      <sz val="11"/>
      <name val="Calibri"/>
      <family val="2"/>
      <scheme val="minor"/>
    </font>
    <font>
      <b/>
      <sz val="11"/>
      <name val="Calibri"/>
      <family val="2"/>
      <scheme val="minor"/>
    </font>
    <font>
      <sz val="8"/>
      <color theme="1"/>
      <name val="Calibri"/>
      <family val="2"/>
      <scheme val="minor"/>
    </font>
    <font>
      <sz val="11"/>
      <color rgb="FFFF0000"/>
      <name val="Calibri"/>
      <family val="2"/>
      <scheme val="minor"/>
    </font>
    <font>
      <sz val="10"/>
      <color theme="1"/>
      <name val="Calibri"/>
      <family val="2"/>
      <scheme val="minor"/>
    </font>
    <font>
      <sz val="11"/>
      <color theme="1"/>
      <name val="Arial"/>
      <family val="2"/>
    </font>
    <font>
      <u/>
      <sz val="11"/>
      <color theme="10"/>
      <name val="Calibri"/>
      <family val="2"/>
      <scheme val="minor"/>
    </font>
    <font>
      <sz val="10"/>
      <name val="Arial"/>
      <family val="2"/>
    </font>
    <font>
      <sz val="9"/>
      <color theme="1"/>
      <name val="Calibri"/>
      <family val="2"/>
      <scheme val="minor"/>
    </font>
    <font>
      <sz val="12"/>
      <color theme="1"/>
      <name val="Calibri"/>
      <family val="2"/>
      <scheme val="minor"/>
    </font>
    <font>
      <sz val="11"/>
      <color theme="1"/>
      <name val="Calibri"/>
      <family val="2"/>
      <charset val="1"/>
      <scheme val="minor"/>
    </font>
    <font>
      <sz val="11"/>
      <color indexed="8"/>
      <name val="Calibri"/>
      <family val="2"/>
    </font>
    <font>
      <sz val="11"/>
      <color rgb="FFFF00FF"/>
      <name val="Calibri"/>
      <family val="2"/>
      <scheme val="minor"/>
    </font>
    <font>
      <b/>
      <sz val="8"/>
      <color theme="1"/>
      <name val="Calibri"/>
      <family val="2"/>
      <scheme val="minor"/>
    </font>
    <font>
      <b/>
      <sz val="13"/>
      <name val="Calibri"/>
      <family val="2"/>
      <scheme val="minor"/>
    </font>
    <font>
      <b/>
      <sz val="13"/>
      <color theme="1"/>
      <name val="Calibri"/>
      <family val="2"/>
      <scheme val="minor"/>
    </font>
    <font>
      <b/>
      <sz val="15"/>
      <color theme="1"/>
      <name val="Calibri"/>
      <family val="2"/>
      <scheme val="minor"/>
    </font>
    <font>
      <sz val="11"/>
      <color rgb="FF7030A0"/>
      <name val="Calibri"/>
      <family val="2"/>
      <scheme val="minor"/>
    </font>
    <font>
      <i/>
      <sz val="13"/>
      <color theme="1"/>
      <name val="Calibri"/>
      <family val="2"/>
      <scheme val="minor"/>
    </font>
    <font>
      <u/>
      <sz val="11"/>
      <color theme="1"/>
      <name val="Calibri"/>
      <family val="2"/>
      <scheme val="minor"/>
    </font>
    <font>
      <i/>
      <sz val="9"/>
      <color theme="1"/>
      <name val="Calibri"/>
      <family val="2"/>
      <scheme val="minor"/>
    </font>
    <font>
      <sz val="11"/>
      <color rgb="FF000000"/>
      <name val="Calibri"/>
      <family val="2"/>
    </font>
    <font>
      <sz val="11"/>
      <color rgb="FF00B0F0"/>
      <name val="Calibri"/>
      <family val="2"/>
      <scheme val="minor"/>
    </font>
    <font>
      <i/>
      <sz val="9"/>
      <color rgb="FF00B0F0"/>
      <name val="Calibri"/>
      <family val="2"/>
      <scheme val="minor"/>
    </font>
    <font>
      <b/>
      <sz val="12"/>
      <color theme="1"/>
      <name val="Calibri"/>
      <family val="2"/>
      <scheme val="minor"/>
    </font>
    <font>
      <i/>
      <sz val="11"/>
      <color theme="1"/>
      <name val="Calibri"/>
      <family val="2"/>
      <scheme val="minor"/>
    </font>
    <font>
      <b/>
      <sz val="14"/>
      <color theme="1"/>
      <name val="Calibri"/>
      <family val="2"/>
      <scheme val="minor"/>
    </font>
    <font>
      <b/>
      <sz val="10"/>
      <color theme="1"/>
      <name val="Calibri"/>
      <family val="2"/>
      <scheme val="minor"/>
    </font>
    <font>
      <sz val="10"/>
      <name val="Calibri"/>
      <family val="2"/>
      <scheme val="minor"/>
    </font>
    <font>
      <b/>
      <u/>
      <sz val="10"/>
      <color theme="10"/>
      <name val="Calibri"/>
      <family val="2"/>
      <scheme val="minor"/>
    </font>
    <font>
      <sz val="10"/>
      <name val="Verdana"/>
      <family val="2"/>
    </font>
    <font>
      <b/>
      <sz val="16"/>
      <name val="Verdana"/>
      <family val="2"/>
    </font>
    <font>
      <u/>
      <sz val="10"/>
      <color theme="10"/>
      <name val="Verdana"/>
      <family val="2"/>
    </font>
    <font>
      <sz val="8"/>
      <name val="Verdana"/>
      <family val="2"/>
    </font>
    <font>
      <b/>
      <sz val="10"/>
      <name val="Verdana"/>
      <family val="2"/>
    </font>
    <font>
      <b/>
      <sz val="12"/>
      <name val="Verdana"/>
      <family val="2"/>
    </font>
    <font>
      <sz val="12"/>
      <color theme="1"/>
      <name val="Calibri Light"/>
      <family val="2"/>
      <scheme val="major"/>
    </font>
    <font>
      <sz val="11"/>
      <color theme="1"/>
      <name val="Calibri Light"/>
      <family val="2"/>
      <scheme val="major"/>
    </font>
    <font>
      <b/>
      <sz val="12"/>
      <color theme="1"/>
      <name val="Calibri Light"/>
      <family val="2"/>
      <scheme val="major"/>
    </font>
    <font>
      <b/>
      <sz val="12"/>
      <color theme="0"/>
      <name val="Calibri Light"/>
      <family val="2"/>
      <scheme val="major"/>
    </font>
    <font>
      <sz val="10"/>
      <color theme="1"/>
      <name val="Calibri Light"/>
      <family val="2"/>
      <scheme val="major"/>
    </font>
    <font>
      <b/>
      <sz val="18"/>
      <color theme="1"/>
      <name val="Calibri Light"/>
      <family val="2"/>
      <scheme val="major"/>
    </font>
    <font>
      <b/>
      <sz val="11"/>
      <color theme="1"/>
      <name val="Calibri Light"/>
      <family val="2"/>
      <scheme val="major"/>
    </font>
    <font>
      <b/>
      <sz val="11"/>
      <color theme="0"/>
      <name val="Calibri Light"/>
      <family val="2"/>
      <scheme val="major"/>
    </font>
    <font>
      <sz val="9"/>
      <color theme="1"/>
      <name val="Calibri Light"/>
      <family val="2"/>
      <scheme val="major"/>
    </font>
    <font>
      <b/>
      <sz val="24"/>
      <color theme="1"/>
      <name val="Calibri Light"/>
      <family val="2"/>
      <scheme val="major"/>
    </font>
    <font>
      <b/>
      <sz val="12"/>
      <color theme="1"/>
      <name val="Calibri"/>
      <family val="2"/>
    </font>
    <font>
      <sz val="12"/>
      <color theme="7" tint="-0.499984740745262"/>
      <name val="Calibri Light"/>
      <family val="2"/>
      <scheme val="major"/>
    </font>
    <font>
      <sz val="12"/>
      <color rgb="FF0070C0"/>
      <name val="Calibri Light"/>
      <family val="2"/>
      <scheme val="major"/>
    </font>
    <font>
      <sz val="12"/>
      <color theme="9" tint="-0.249977111117893"/>
      <name val="Calibri Light"/>
      <family val="2"/>
      <scheme val="major"/>
    </font>
    <font>
      <b/>
      <sz val="11"/>
      <name val="Calibri Light"/>
      <family val="2"/>
      <scheme val="major"/>
    </font>
    <font>
      <sz val="12"/>
      <color rgb="FF9A009A"/>
      <name val="Calibri Light"/>
      <family val="2"/>
      <scheme val="major"/>
    </font>
    <font>
      <sz val="11"/>
      <color rgb="FF00B050"/>
      <name val="Calibri"/>
      <family val="2"/>
      <scheme val="minor"/>
    </font>
    <font>
      <sz val="7"/>
      <color theme="1"/>
      <name val="Calibri"/>
      <family val="2"/>
      <scheme val="minor"/>
    </font>
    <font>
      <b/>
      <sz val="9"/>
      <color theme="1"/>
      <name val="Calibri Light"/>
      <family val="2"/>
      <scheme val="major"/>
    </font>
    <font>
      <b/>
      <sz val="9"/>
      <color theme="0"/>
      <name val="Calibri Light"/>
      <family val="2"/>
      <scheme val="major"/>
    </font>
    <font>
      <b/>
      <sz val="9"/>
      <name val="Calibri Light"/>
      <family val="2"/>
      <scheme val="major"/>
    </font>
  </fonts>
  <fills count="24">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CCCCFF"/>
        <bgColor indexed="64"/>
      </patternFill>
    </fill>
    <fill>
      <patternFill patternType="solid">
        <fgColor rgb="FFCCFFFF"/>
        <bgColor indexed="64"/>
      </patternFill>
    </fill>
    <fill>
      <patternFill patternType="solid">
        <fgColor rgb="FFCCECFF"/>
        <bgColor indexed="64"/>
      </patternFill>
    </fill>
    <fill>
      <patternFill patternType="solid">
        <fgColor theme="0" tint="-4.9989318521683403E-2"/>
        <bgColor indexed="64"/>
      </patternFill>
    </fill>
    <fill>
      <patternFill patternType="solid">
        <fgColor theme="0" tint="-0.14999847407452621"/>
        <bgColor theme="0" tint="-0.14993743705557422"/>
      </patternFill>
    </fill>
    <fill>
      <patternFill patternType="solid">
        <fgColor theme="0"/>
        <bgColor theme="0" tint="-0.14993743705557422"/>
      </patternFill>
    </fill>
    <fill>
      <patternFill patternType="solid">
        <fgColor theme="5" tint="0.79998168889431442"/>
        <bgColor indexed="64"/>
      </patternFill>
    </fill>
    <fill>
      <patternFill patternType="solid">
        <fgColor rgb="FFFFFFCC"/>
        <bgColor indexed="64"/>
      </patternFill>
    </fill>
    <fill>
      <patternFill patternType="solid">
        <fgColor rgb="FFFFFF99"/>
        <bgColor indexed="64"/>
      </patternFill>
    </fill>
    <fill>
      <patternFill patternType="solid">
        <fgColor rgb="FFFFFF66"/>
        <bgColor indexed="64"/>
      </patternFill>
    </fill>
    <fill>
      <patternFill patternType="solid">
        <fgColor theme="6" tint="0.79998168889431442"/>
        <bgColor indexed="64"/>
      </patternFill>
    </fill>
    <fill>
      <patternFill patternType="solid">
        <fgColor theme="6" tint="0.79998168889431442"/>
        <bgColor theme="0" tint="-0.499984740745262"/>
      </patternFill>
    </fill>
    <fill>
      <patternFill patternType="solid">
        <fgColor rgb="FFFFE6FF"/>
        <bgColor indexed="64"/>
      </patternFill>
    </fill>
    <fill>
      <patternFill patternType="solid">
        <fgColor rgb="FF99FFCC"/>
        <bgColor indexed="64"/>
      </patternFill>
    </fill>
    <fill>
      <patternFill patternType="solid">
        <fgColor theme="5" tint="0.39997558519241921"/>
        <bgColor indexed="64"/>
      </patternFill>
    </fill>
    <fill>
      <patternFill patternType="solid">
        <fgColor theme="0" tint="-0.249977111117893"/>
        <bgColor indexed="64"/>
      </patternFill>
    </fill>
    <fill>
      <patternFill patternType="solid">
        <fgColor theme="0" tint="-0.49998474074526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13">
    <xf numFmtId="0" fontId="0" fillId="0" borderId="0"/>
    <xf numFmtId="9" fontId="1" fillId="0" borderId="0" applyFont="0" applyFill="0" applyBorder="0" applyAlignment="0" applyProtection="0"/>
    <xf numFmtId="0" fontId="10" fillId="0" borderId="0"/>
    <xf numFmtId="9" fontId="10" fillId="0" borderId="0" applyFont="0" applyFill="0" applyBorder="0" applyAlignment="0" applyProtection="0"/>
    <xf numFmtId="0" fontId="11" fillId="0" borderId="0" applyNumberFormat="0" applyFill="0" applyBorder="0" applyAlignment="0" applyProtection="0"/>
    <xf numFmtId="0" fontId="12" fillId="0" borderId="0"/>
    <xf numFmtId="0" fontId="15" fillId="0" borderId="0"/>
    <xf numFmtId="0" fontId="16" fillId="0" borderId="0"/>
    <xf numFmtId="0" fontId="12" fillId="0" borderId="0" applyNumberFormat="0" applyFill="0" applyBorder="0" applyAlignment="0" applyProtection="0"/>
    <xf numFmtId="0" fontId="26" fillId="0" borderId="0" applyBorder="0"/>
    <xf numFmtId="0" fontId="35" fillId="0" borderId="0"/>
    <xf numFmtId="0" fontId="37" fillId="0" borderId="0" applyNumberFormat="0" applyFill="0" applyBorder="0" applyAlignment="0" applyProtection="0"/>
    <xf numFmtId="43" fontId="1" fillId="0" borderId="0" applyFont="0" applyFill="0" applyBorder="0" applyAlignment="0" applyProtection="0"/>
  </cellStyleXfs>
  <cellXfs count="718">
    <xf numFmtId="0" fontId="0" fillId="0" borderId="0" xfId="0"/>
    <xf numFmtId="0" fontId="0" fillId="2" borderId="0" xfId="0" applyFill="1"/>
    <xf numFmtId="0" fontId="0" fillId="2" borderId="0" xfId="0" applyFill="1" applyAlignment="1">
      <alignment horizontal="center"/>
    </xf>
    <xf numFmtId="166" fontId="0" fillId="2" borderId="0" xfId="0" applyNumberFormat="1" applyFill="1" applyAlignment="1">
      <alignment horizontal="center" vertical="center"/>
    </xf>
    <xf numFmtId="0" fontId="0" fillId="2" borderId="0" xfId="0" applyFill="1" applyAlignment="1">
      <alignment vertical="center"/>
    </xf>
    <xf numFmtId="0" fontId="2" fillId="2" borderId="0" xfId="0" applyFont="1" applyFill="1" applyAlignment="1">
      <alignment horizontal="center" vertical="center" wrapText="1"/>
    </xf>
    <xf numFmtId="0" fontId="0" fillId="2" borderId="0" xfId="0" applyFill="1" applyAlignment="1">
      <alignment horizontal="center" vertical="center"/>
    </xf>
    <xf numFmtId="3" fontId="0" fillId="2" borderId="15" xfId="0" applyNumberFormat="1" applyFill="1" applyBorder="1" applyAlignment="1">
      <alignment horizontal="center" vertical="center"/>
    </xf>
    <xf numFmtId="0" fontId="4" fillId="2" borderId="0" xfId="0" applyFont="1" applyFill="1" applyAlignment="1">
      <alignment vertical="center"/>
    </xf>
    <xf numFmtId="3" fontId="0" fillId="2" borderId="0" xfId="0" applyNumberFormat="1" applyFill="1" applyAlignment="1">
      <alignment horizontal="center"/>
    </xf>
    <xf numFmtId="0" fontId="4" fillId="2" borderId="0" xfId="0" applyFont="1" applyFill="1"/>
    <xf numFmtId="0" fontId="3" fillId="2" borderId="0" xfId="0" applyFont="1" applyFill="1" applyAlignment="1">
      <alignment vertical="center"/>
    </xf>
    <xf numFmtId="3" fontId="0" fillId="2" borderId="1" xfId="0" applyNumberFormat="1" applyFill="1" applyBorder="1" applyAlignment="1">
      <alignment horizontal="center" vertical="center"/>
    </xf>
    <xf numFmtId="0" fontId="3" fillId="2" borderId="0" xfId="0" applyFont="1" applyFill="1" applyAlignment="1">
      <alignment horizontal="center" vertical="center"/>
    </xf>
    <xf numFmtId="3" fontId="0" fillId="2" borderId="0" xfId="0" applyNumberFormat="1" applyFill="1" applyAlignment="1">
      <alignment horizontal="center" vertical="center"/>
    </xf>
    <xf numFmtId="3" fontId="0" fillId="2" borderId="0" xfId="0" applyNumberFormat="1" applyFill="1"/>
    <xf numFmtId="0" fontId="0" fillId="2" borderId="0" xfId="0" applyFill="1" applyAlignment="1">
      <alignment vertical="center" wrapText="1"/>
    </xf>
    <xf numFmtId="0" fontId="7" fillId="2" borderId="0" xfId="0" applyFont="1" applyFill="1" applyAlignment="1">
      <alignment horizontal="center" vertical="center" wrapText="1"/>
    </xf>
    <xf numFmtId="0" fontId="2" fillId="2" borderId="0" xfId="0" applyFont="1" applyFill="1" applyAlignment="1">
      <alignment horizontal="center" vertical="center"/>
    </xf>
    <xf numFmtId="3" fontId="0" fillId="2" borderId="0" xfId="0" applyNumberFormat="1" applyFill="1" applyAlignment="1">
      <alignment horizontal="center" vertical="center" wrapText="1"/>
    </xf>
    <xf numFmtId="9" fontId="0" fillId="2" borderId="0" xfId="0" applyNumberFormat="1" applyFill="1" applyAlignment="1">
      <alignment horizontal="center" vertical="center"/>
    </xf>
    <xf numFmtId="0" fontId="2" fillId="2" borderId="5" xfId="0" applyFont="1" applyFill="1" applyBorder="1" applyAlignment="1">
      <alignment horizontal="center" vertical="center" wrapText="1"/>
    </xf>
    <xf numFmtId="0" fontId="17" fillId="2" borderId="0" xfId="0" applyFont="1" applyFill="1"/>
    <xf numFmtId="0" fontId="3" fillId="2" borderId="0" xfId="0" applyFont="1" applyFill="1" applyAlignment="1">
      <alignment horizontal="center" vertical="center" wrapText="1"/>
    </xf>
    <xf numFmtId="9" fontId="5" fillId="2" borderId="0" xfId="0" applyNumberFormat="1" applyFont="1" applyFill="1" applyAlignment="1">
      <alignment horizontal="center" vertical="center"/>
    </xf>
    <xf numFmtId="3" fontId="0" fillId="2" borderId="6" xfId="0" applyNumberFormat="1" applyFill="1" applyBorder="1" applyAlignment="1">
      <alignment horizontal="center" vertical="center"/>
    </xf>
    <xf numFmtId="0" fontId="9" fillId="2" borderId="0" xfId="0" applyFont="1" applyFill="1" applyAlignment="1">
      <alignment vertical="center" wrapText="1"/>
    </xf>
    <xf numFmtId="0" fontId="3" fillId="2" borderId="0" xfId="0" applyFont="1" applyFill="1"/>
    <xf numFmtId="0" fontId="20" fillId="2" borderId="0" xfId="0" applyFont="1" applyFill="1" applyAlignment="1">
      <alignment vertical="center"/>
    </xf>
    <xf numFmtId="3" fontId="0" fillId="2" borderId="0" xfId="0" applyNumberFormat="1" applyFill="1" applyAlignment="1">
      <alignment vertical="center"/>
    </xf>
    <xf numFmtId="9" fontId="22" fillId="2" borderId="0" xfId="1" applyFont="1" applyFill="1" applyAlignment="1">
      <alignment horizontal="center" vertical="center"/>
    </xf>
    <xf numFmtId="3" fontId="3" fillId="2" borderId="0" xfId="0" applyNumberFormat="1" applyFont="1" applyFill="1" applyAlignment="1">
      <alignment horizontal="center" vertical="center"/>
    </xf>
    <xf numFmtId="3" fontId="3" fillId="5" borderId="0" xfId="0" applyNumberFormat="1" applyFont="1" applyFill="1" applyAlignment="1">
      <alignment horizontal="center" vertical="center"/>
    </xf>
    <xf numFmtId="0" fontId="3" fillId="2" borderId="0" xfId="0" applyFont="1" applyFill="1" applyAlignment="1">
      <alignment horizontal="right" vertical="center"/>
    </xf>
    <xf numFmtId="3" fontId="24" fillId="2" borderId="0" xfId="0" applyNumberFormat="1" applyFont="1" applyFill="1" applyAlignment="1">
      <alignment horizontal="center" vertical="center"/>
    </xf>
    <xf numFmtId="3" fontId="24" fillId="2" borderId="0" xfId="0" applyNumberFormat="1" applyFont="1" applyFill="1" applyAlignment="1">
      <alignment horizontal="center" vertical="center" wrapText="1"/>
    </xf>
    <xf numFmtId="0" fontId="20" fillId="3" borderId="0" xfId="0" applyFont="1" applyFill="1" applyAlignment="1">
      <alignment vertical="center"/>
    </xf>
    <xf numFmtId="0" fontId="0" fillId="3" borderId="0" xfId="0" applyFill="1" applyAlignment="1">
      <alignment vertical="center"/>
    </xf>
    <xf numFmtId="0" fontId="20" fillId="5" borderId="0" xfId="0" applyFont="1" applyFill="1" applyAlignment="1">
      <alignment vertical="center"/>
    </xf>
    <xf numFmtId="0" fontId="0" fillId="5" borderId="0" xfId="0" applyFill="1" applyAlignment="1">
      <alignment vertical="center"/>
    </xf>
    <xf numFmtId="0" fontId="20" fillId="9" borderId="0" xfId="0" applyFont="1" applyFill="1" applyAlignment="1">
      <alignment vertical="center"/>
    </xf>
    <xf numFmtId="0" fontId="0" fillId="9" borderId="0" xfId="0" applyFill="1" applyAlignment="1">
      <alignment vertical="center"/>
    </xf>
    <xf numFmtId="3" fontId="3" fillId="3" borderId="0" xfId="0" applyNumberFormat="1" applyFont="1" applyFill="1" applyAlignment="1">
      <alignment horizontal="center" vertical="center"/>
    </xf>
    <xf numFmtId="3" fontId="3" fillId="2" borderId="15" xfId="0" applyNumberFormat="1" applyFont="1" applyFill="1" applyBorder="1" applyAlignment="1">
      <alignment horizontal="center" vertical="center"/>
    </xf>
    <xf numFmtId="165" fontId="0" fillId="2" borderId="0" xfId="1" applyNumberFormat="1" applyFont="1" applyFill="1" applyAlignment="1">
      <alignment horizontal="center" vertical="center"/>
    </xf>
    <xf numFmtId="0" fontId="0" fillId="2" borderId="0" xfId="0" applyFill="1" applyAlignment="1">
      <alignment horizontal="center" vertical="center" wrapText="1"/>
    </xf>
    <xf numFmtId="0" fontId="29" fillId="2" borderId="0" xfId="0" applyFont="1" applyFill="1" applyAlignment="1">
      <alignment vertical="center"/>
    </xf>
    <xf numFmtId="0" fontId="29" fillId="2" borderId="0" xfId="0" applyFont="1" applyFill="1"/>
    <xf numFmtId="0" fontId="29" fillId="2" borderId="0" xfId="0" applyFont="1" applyFill="1" applyAlignment="1">
      <alignment horizontal="left" vertical="center"/>
    </xf>
    <xf numFmtId="167" fontId="5" fillId="2" borderId="0" xfId="0" applyNumberFormat="1" applyFont="1" applyFill="1" applyAlignment="1">
      <alignment horizontal="center" vertical="center"/>
    </xf>
    <xf numFmtId="3" fontId="13" fillId="2" borderId="0" xfId="0" applyNumberFormat="1" applyFont="1" applyFill="1" applyAlignment="1">
      <alignment horizontal="right" vertical="center"/>
    </xf>
    <xf numFmtId="2" fontId="28" fillId="2" borderId="0" xfId="0" applyNumberFormat="1" applyFont="1" applyFill="1" applyAlignment="1">
      <alignment horizontal="center" vertical="center"/>
    </xf>
    <xf numFmtId="4" fontId="28" fillId="2" borderId="0" xfId="0" applyNumberFormat="1" applyFont="1" applyFill="1" applyAlignment="1">
      <alignment horizontal="center" vertical="center"/>
    </xf>
    <xf numFmtId="167" fontId="0" fillId="7" borderId="1" xfId="0" applyNumberFormat="1" applyFill="1" applyBorder="1" applyAlignment="1">
      <alignment horizontal="center" vertical="center"/>
    </xf>
    <xf numFmtId="0" fontId="8" fillId="2" borderId="0" xfId="0" applyFont="1" applyFill="1" applyAlignment="1">
      <alignment vertical="center"/>
    </xf>
    <xf numFmtId="0" fontId="3" fillId="2" borderId="0" xfId="0" applyFont="1" applyFill="1" applyAlignment="1">
      <alignment horizontal="center"/>
    </xf>
    <xf numFmtId="164" fontId="0" fillId="2" borderId="0" xfId="1" applyNumberFormat="1" applyFont="1" applyFill="1" applyBorder="1" applyAlignment="1" applyProtection="1">
      <alignment horizontal="center" vertical="center"/>
    </xf>
    <xf numFmtId="0" fontId="30" fillId="2" borderId="0" xfId="0" applyFont="1" applyFill="1" applyAlignment="1">
      <alignment vertical="center" wrapText="1"/>
    </xf>
    <xf numFmtId="0" fontId="0" fillId="2" borderId="0" xfId="0" applyFill="1" applyAlignment="1">
      <alignment wrapText="1"/>
    </xf>
    <xf numFmtId="0" fontId="0" fillId="2" borderId="0" xfId="0" applyFill="1" applyAlignment="1">
      <alignment horizontal="center" wrapText="1"/>
    </xf>
    <xf numFmtId="3" fontId="3" fillId="3" borderId="20" xfId="0" applyNumberFormat="1" applyFont="1" applyFill="1" applyBorder="1" applyAlignment="1">
      <alignment horizontal="center" vertical="center"/>
    </xf>
    <xf numFmtId="3" fontId="3" fillId="9" borderId="20" xfId="0" applyNumberFormat="1" applyFont="1" applyFill="1" applyBorder="1" applyAlignment="1">
      <alignment horizontal="center" vertical="center"/>
    </xf>
    <xf numFmtId="3" fontId="3" fillId="5" borderId="20" xfId="0" applyNumberFormat="1" applyFont="1" applyFill="1" applyBorder="1" applyAlignment="1">
      <alignment horizontal="center" vertical="center"/>
    </xf>
    <xf numFmtId="165" fontId="3" fillId="2" borderId="0" xfId="1" applyNumberFormat="1" applyFont="1" applyFill="1" applyBorder="1" applyAlignment="1" applyProtection="1">
      <alignment horizontal="center" vertical="center" wrapText="1"/>
    </xf>
    <xf numFmtId="3" fontId="3" fillId="2" borderId="0" xfId="0" applyNumberFormat="1" applyFont="1" applyFill="1" applyAlignment="1">
      <alignment horizontal="center" vertical="center" wrapText="1"/>
    </xf>
    <xf numFmtId="166" fontId="0" fillId="2" borderId="1" xfId="0" applyNumberFormat="1" applyFill="1" applyBorder="1" applyAlignment="1">
      <alignment horizontal="center"/>
    </xf>
    <xf numFmtId="0" fontId="0" fillId="2" borderId="0" xfId="0" applyFill="1" applyAlignment="1">
      <alignment horizontal="right" vertical="center" wrapText="1"/>
    </xf>
    <xf numFmtId="164" fontId="0" fillId="2" borderId="1" xfId="0" applyNumberFormat="1" applyFill="1" applyBorder="1" applyAlignment="1">
      <alignment horizontal="center"/>
    </xf>
    <xf numFmtId="0" fontId="0" fillId="2" borderId="1" xfId="0" applyFill="1" applyBorder="1" applyAlignment="1">
      <alignment horizontal="center" vertical="center"/>
    </xf>
    <xf numFmtId="3" fontId="3" fillId="2" borderId="1" xfId="0" applyNumberFormat="1" applyFont="1" applyFill="1" applyBorder="1" applyAlignment="1">
      <alignment horizontal="center" vertical="center"/>
    </xf>
    <xf numFmtId="0" fontId="13" fillId="2" borderId="0" xfId="0" applyFont="1" applyFill="1" applyAlignment="1">
      <alignment horizontal="left" vertical="center" wrapText="1"/>
    </xf>
    <xf numFmtId="3" fontId="3" fillId="4" borderId="20" xfId="0" applyNumberFormat="1" applyFont="1" applyFill="1" applyBorder="1" applyAlignment="1">
      <alignment horizontal="center" vertical="center"/>
    </xf>
    <xf numFmtId="0" fontId="3" fillId="2" borderId="1" xfId="0" applyFont="1" applyFill="1" applyBorder="1" applyAlignment="1">
      <alignment horizontal="center" vertical="center" wrapText="1"/>
    </xf>
    <xf numFmtId="0" fontId="0" fillId="2" borderId="6" xfId="0" applyFill="1" applyBorder="1" applyAlignment="1">
      <alignment horizontal="center" vertical="center"/>
    </xf>
    <xf numFmtId="0" fontId="3" fillId="2" borderId="2" xfId="0" applyFont="1" applyFill="1" applyBorder="1" applyAlignment="1">
      <alignment horizontal="center"/>
    </xf>
    <xf numFmtId="0" fontId="3" fillId="2" borderId="13" xfId="0" applyFont="1" applyFill="1" applyBorder="1" applyAlignment="1">
      <alignment horizontal="center"/>
    </xf>
    <xf numFmtId="0" fontId="3" fillId="2" borderId="3" xfId="0" applyFont="1" applyFill="1" applyBorder="1" applyAlignment="1">
      <alignment horizontal="center"/>
    </xf>
    <xf numFmtId="0" fontId="9" fillId="2" borderId="0" xfId="0" applyFont="1" applyFill="1"/>
    <xf numFmtId="1" fontId="0" fillId="2" borderId="0" xfId="0" applyNumberFormat="1" applyFill="1" applyAlignment="1">
      <alignment horizontal="center" vertical="center"/>
    </xf>
    <xf numFmtId="2" fontId="0" fillId="2" borderId="1" xfId="0" applyNumberFormat="1" applyFill="1" applyBorder="1" applyAlignment="1">
      <alignment horizontal="center" vertical="center"/>
    </xf>
    <xf numFmtId="167" fontId="0" fillId="2" borderId="1" xfId="0" applyNumberFormat="1" applyFill="1" applyBorder="1" applyAlignment="1">
      <alignment horizontal="center" vertical="center"/>
    </xf>
    <xf numFmtId="3" fontId="0" fillId="7" borderId="1" xfId="0" applyNumberFormat="1" applyFill="1" applyBorder="1" applyAlignment="1">
      <alignment horizontal="center" vertical="center"/>
    </xf>
    <xf numFmtId="9" fontId="0" fillId="11" borderId="1" xfId="1" applyFont="1" applyFill="1" applyBorder="1" applyAlignment="1">
      <alignment horizontal="center" vertical="center"/>
    </xf>
    <xf numFmtId="0" fontId="9" fillId="2" borderId="0" xfId="0" applyFont="1" applyFill="1" applyAlignment="1">
      <alignment vertical="center"/>
    </xf>
    <xf numFmtId="0" fontId="0" fillId="2" borderId="22" xfId="0" applyFill="1" applyBorder="1" applyAlignment="1">
      <alignment vertical="center"/>
    </xf>
    <xf numFmtId="0" fontId="35" fillId="2" borderId="0" xfId="10" applyFill="1" applyAlignment="1">
      <alignment vertical="center"/>
    </xf>
    <xf numFmtId="0" fontId="35" fillId="2" borderId="0" xfId="10" applyFill="1"/>
    <xf numFmtId="0" fontId="39" fillId="2" borderId="0" xfId="10" applyFont="1" applyFill="1" applyAlignment="1">
      <alignment horizontal="left" vertical="center" indent="1"/>
    </xf>
    <xf numFmtId="0" fontId="11" fillId="10" borderId="10" xfId="4" applyFill="1" applyBorder="1" applyAlignment="1">
      <alignment horizontal="left" vertical="center" indent="1"/>
    </xf>
    <xf numFmtId="0" fontId="11" fillId="10" borderId="11" xfId="4" applyFill="1" applyBorder="1" applyAlignment="1">
      <alignment horizontal="left" vertical="center" indent="1"/>
    </xf>
    <xf numFmtId="0" fontId="11" fillId="10" borderId="12" xfId="4" applyFill="1" applyBorder="1" applyAlignment="1">
      <alignment horizontal="left" vertical="center" indent="1"/>
    </xf>
    <xf numFmtId="0" fontId="11" fillId="5" borderId="2" xfId="4" applyFill="1" applyBorder="1" applyAlignment="1">
      <alignment horizontal="left" vertical="center" indent="1"/>
    </xf>
    <xf numFmtId="0" fontId="11" fillId="6" borderId="2" xfId="4" applyFill="1" applyBorder="1" applyAlignment="1">
      <alignment horizontal="left" vertical="center" indent="1"/>
    </xf>
    <xf numFmtId="0" fontId="11" fillId="3" borderId="12" xfId="4" applyFill="1" applyBorder="1" applyAlignment="1">
      <alignment horizontal="left" vertical="center" indent="1"/>
    </xf>
    <xf numFmtId="0" fontId="36" fillId="2" borderId="0" xfId="10" applyFont="1" applyFill="1" applyAlignment="1">
      <alignment vertical="center"/>
    </xf>
    <xf numFmtId="0" fontId="34" fillId="2" borderId="0" xfId="4" applyFont="1" applyFill="1" applyAlignment="1" applyProtection="1">
      <alignment horizontal="right" vertical="center"/>
    </xf>
    <xf numFmtId="0" fontId="34" fillId="2" borderId="0" xfId="4" applyFont="1" applyFill="1" applyAlignment="1" applyProtection="1">
      <alignment horizontal="left" vertical="center"/>
    </xf>
    <xf numFmtId="166" fontId="34" fillId="2" borderId="0" xfId="4" applyNumberFormat="1" applyFont="1" applyFill="1" applyAlignment="1" applyProtection="1">
      <alignment horizontal="center" vertical="center" wrapText="1"/>
    </xf>
    <xf numFmtId="0" fontId="34" fillId="2" borderId="0" xfId="4" applyFont="1" applyFill="1" applyAlignment="1" applyProtection="1">
      <alignment vertical="center"/>
    </xf>
    <xf numFmtId="0" fontId="34" fillId="2" borderId="0" xfId="4" applyFont="1" applyFill="1" applyBorder="1" applyAlignment="1" applyProtection="1">
      <alignment horizontal="center" vertical="center" wrapText="1"/>
    </xf>
    <xf numFmtId="0" fontId="4" fillId="2" borderId="0" xfId="0" applyFont="1" applyFill="1" applyAlignment="1">
      <alignment horizontal="left" vertical="center"/>
    </xf>
    <xf numFmtId="0" fontId="0" fillId="2" borderId="0" xfId="0" applyFill="1" applyAlignment="1">
      <alignment horizontal="left" vertical="center"/>
    </xf>
    <xf numFmtId="167" fontId="0" fillId="2" borderId="4" xfId="0" applyNumberFormat="1" applyFill="1" applyBorder="1" applyAlignment="1">
      <alignment horizontal="center" vertical="center"/>
    </xf>
    <xf numFmtId="0" fontId="11" fillId="7" borderId="2" xfId="4" applyFill="1" applyBorder="1" applyAlignment="1">
      <alignment horizontal="left" vertical="center" indent="1"/>
    </xf>
    <xf numFmtId="49" fontId="0" fillId="8" borderId="1" xfId="0" applyNumberFormat="1" applyFill="1" applyBorder="1" applyAlignment="1" applyProtection="1">
      <alignment horizontal="center" vertical="center"/>
      <protection locked="0"/>
    </xf>
    <xf numFmtId="0" fontId="0" fillId="8" borderId="1" xfId="0" applyFill="1" applyBorder="1" applyAlignment="1" applyProtection="1">
      <alignment horizontal="center" vertical="center"/>
      <protection locked="0"/>
    </xf>
    <xf numFmtId="0" fontId="0" fillId="8" borderId="3" xfId="0" applyFill="1" applyBorder="1" applyAlignment="1" applyProtection="1">
      <alignment horizontal="center" vertical="center"/>
      <protection locked="0"/>
    </xf>
    <xf numFmtId="0" fontId="0" fillId="4" borderId="4" xfId="0" applyFill="1" applyBorder="1" applyAlignment="1">
      <alignment horizontal="center"/>
    </xf>
    <xf numFmtId="0" fontId="0" fillId="4" borderId="5" xfId="0" applyFill="1" applyBorder="1" applyAlignment="1">
      <alignment horizontal="center"/>
    </xf>
    <xf numFmtId="43" fontId="0" fillId="4" borderId="8" xfId="0" applyNumberFormat="1" applyFill="1" applyBorder="1" applyAlignment="1">
      <alignment horizontal="left"/>
    </xf>
    <xf numFmtId="0" fontId="0" fillId="4" borderId="6" xfId="0" applyFill="1" applyBorder="1" applyAlignment="1">
      <alignment horizontal="center"/>
    </xf>
    <xf numFmtId="43" fontId="0" fillId="4" borderId="9" xfId="0" applyNumberFormat="1" applyFill="1" applyBorder="1" applyAlignment="1">
      <alignment horizontal="left"/>
    </xf>
    <xf numFmtId="14" fontId="30" fillId="4" borderId="1" xfId="0" applyNumberFormat="1" applyFont="1" applyFill="1" applyBorder="1" applyAlignment="1">
      <alignment horizontal="center" vertical="center"/>
    </xf>
    <xf numFmtId="0" fontId="30" fillId="4" borderId="1" xfId="0" applyFont="1" applyFill="1" applyBorder="1" applyAlignment="1">
      <alignment horizontal="center" vertical="center"/>
    </xf>
    <xf numFmtId="49" fontId="30" fillId="4" borderId="1" xfId="0" applyNumberFormat="1" applyFont="1" applyFill="1" applyBorder="1" applyAlignment="1">
      <alignment horizontal="center" vertical="center"/>
    </xf>
    <xf numFmtId="43" fontId="0" fillId="4" borderId="4" xfId="0" applyNumberFormat="1" applyFill="1" applyBorder="1" applyAlignment="1">
      <alignment horizontal="left"/>
    </xf>
    <xf numFmtId="43" fontId="0" fillId="4" borderId="5" xfId="0" applyNumberFormat="1" applyFill="1" applyBorder="1" applyAlignment="1">
      <alignment horizontal="left"/>
    </xf>
    <xf numFmtId="43" fontId="0" fillId="4" borderId="6" xfId="0" applyNumberFormat="1" applyFill="1" applyBorder="1" applyAlignment="1">
      <alignment horizontal="left"/>
    </xf>
    <xf numFmtId="2" fontId="0" fillId="4" borderId="1" xfId="0" applyNumberFormat="1" applyFill="1" applyBorder="1" applyAlignment="1">
      <alignment horizontal="center" vertical="center"/>
    </xf>
    <xf numFmtId="43" fontId="0" fillId="4" borderId="7" xfId="0" applyNumberFormat="1" applyFill="1" applyBorder="1"/>
    <xf numFmtId="43" fontId="0" fillId="4" borderId="8" xfId="0" applyNumberFormat="1" applyFill="1" applyBorder="1"/>
    <xf numFmtId="43" fontId="0" fillId="4" borderId="9" xfId="0" applyNumberFormat="1" applyFill="1" applyBorder="1"/>
    <xf numFmtId="165" fontId="5" fillId="4" borderId="6" xfId="0" applyNumberFormat="1" applyFont="1" applyFill="1" applyBorder="1" applyAlignment="1">
      <alignment horizontal="center" vertical="center"/>
    </xf>
    <xf numFmtId="9" fontId="5" fillId="4" borderId="1" xfId="0" applyNumberFormat="1" applyFont="1" applyFill="1" applyBorder="1" applyAlignment="1">
      <alignment horizontal="center" vertical="center"/>
    </xf>
    <xf numFmtId="3" fontId="0" fillId="4" borderId="6" xfId="0" applyNumberFormat="1" applyFill="1" applyBorder="1" applyAlignment="1">
      <alignment horizontal="center" vertical="center"/>
    </xf>
    <xf numFmtId="167" fontId="0" fillId="4" borderId="1" xfId="0" applyNumberFormat="1" applyFill="1" applyBorder="1" applyAlignment="1">
      <alignment horizontal="center" vertical="center"/>
    </xf>
    <xf numFmtId="9" fontId="0" fillId="4" borderId="1" xfId="0" applyNumberFormat="1" applyFill="1" applyBorder="1" applyAlignment="1">
      <alignment horizontal="center" vertical="center"/>
    </xf>
    <xf numFmtId="167" fontId="0" fillId="4" borderId="3" xfId="0" applyNumberFormat="1" applyFill="1" applyBorder="1" applyAlignment="1">
      <alignment horizontal="center" vertical="center"/>
    </xf>
    <xf numFmtId="9" fontId="0" fillId="4" borderId="1" xfId="1" applyFont="1" applyFill="1" applyBorder="1" applyAlignment="1" applyProtection="1">
      <alignment horizontal="center" vertical="center"/>
    </xf>
    <xf numFmtId="4" fontId="0" fillId="4" borderId="1" xfId="0" applyNumberFormat="1" applyFill="1" applyBorder="1" applyAlignment="1">
      <alignment horizontal="center" vertical="center"/>
    </xf>
    <xf numFmtId="0" fontId="0" fillId="4" borderId="1" xfId="0" applyFill="1" applyBorder="1" applyAlignment="1">
      <alignment horizontal="center" vertical="center"/>
    </xf>
    <xf numFmtId="9" fontId="0" fillId="2" borderId="1" xfId="1" applyFont="1" applyFill="1" applyBorder="1" applyAlignment="1" applyProtection="1">
      <alignment horizontal="center" vertical="center"/>
    </xf>
    <xf numFmtId="0" fontId="4" fillId="10" borderId="0" xfId="0" applyFont="1" applyFill="1" applyAlignment="1">
      <alignment horizontal="left" vertical="center"/>
    </xf>
    <xf numFmtId="0" fontId="34" fillId="10" borderId="0" xfId="4" applyFont="1" applyFill="1" applyAlignment="1" applyProtection="1">
      <alignment horizontal="right" vertical="center"/>
    </xf>
    <xf numFmtId="0" fontId="34" fillId="10" borderId="0" xfId="4" applyFont="1" applyFill="1" applyAlignment="1" applyProtection="1">
      <alignment horizontal="center" vertical="center" wrapText="1"/>
    </xf>
    <xf numFmtId="0" fontId="0" fillId="10" borderId="0" xfId="0" applyFill="1" applyAlignment="1">
      <alignment vertical="center"/>
    </xf>
    <xf numFmtId="0" fontId="25" fillId="10" borderId="0" xfId="0" applyFont="1" applyFill="1" applyAlignment="1">
      <alignment horizontal="center"/>
    </xf>
    <xf numFmtId="0" fontId="14" fillId="10" borderId="0" xfId="0" applyFont="1" applyFill="1" applyAlignment="1">
      <alignment vertical="center"/>
    </xf>
    <xf numFmtId="0" fontId="3" fillId="10" borderId="0" xfId="0" applyFont="1" applyFill="1" applyAlignment="1">
      <alignment horizontal="center" vertical="center"/>
    </xf>
    <xf numFmtId="49" fontId="3" fillId="10" borderId="0" xfId="0" applyNumberFormat="1" applyFont="1" applyFill="1" applyAlignment="1">
      <alignment horizontal="center" vertical="center"/>
    </xf>
    <xf numFmtId="9" fontId="0" fillId="7" borderId="1" xfId="0" applyNumberFormat="1" applyFill="1" applyBorder="1" applyAlignment="1">
      <alignment horizontal="center" vertical="center"/>
    </xf>
    <xf numFmtId="0" fontId="0" fillId="7" borderId="1" xfId="0" applyFill="1" applyBorder="1" applyAlignment="1">
      <alignment horizontal="center" vertical="center"/>
    </xf>
    <xf numFmtId="165" fontId="0" fillId="7" borderId="1" xfId="1" applyNumberFormat="1" applyFont="1" applyFill="1" applyBorder="1" applyAlignment="1" applyProtection="1">
      <alignment horizontal="center" vertical="center"/>
    </xf>
    <xf numFmtId="3" fontId="0" fillId="7" borderId="25" xfId="0" applyNumberFormat="1" applyFill="1" applyBorder="1" applyAlignment="1">
      <alignment horizontal="center" vertical="center"/>
    </xf>
    <xf numFmtId="0" fontId="3" fillId="2" borderId="1" xfId="0" applyFont="1" applyFill="1" applyBorder="1" applyAlignment="1">
      <alignment horizontal="center" vertical="center"/>
    </xf>
    <xf numFmtId="0" fontId="3" fillId="2" borderId="6" xfId="0" applyFont="1" applyFill="1" applyBorder="1" applyAlignment="1">
      <alignment horizontal="center" vertical="center"/>
    </xf>
    <xf numFmtId="9" fontId="0" fillId="7" borderId="4" xfId="0" applyNumberFormat="1" applyFill="1" applyBorder="1" applyAlignment="1">
      <alignment horizontal="center" vertical="center"/>
    </xf>
    <xf numFmtId="0" fontId="25" fillId="10" borderId="0" xfId="0" applyFont="1" applyFill="1" applyAlignment="1">
      <alignment horizontal="center" vertical="center"/>
    </xf>
    <xf numFmtId="3" fontId="0" fillId="2" borderId="25" xfId="0" applyNumberFormat="1" applyFill="1" applyBorder="1" applyAlignment="1">
      <alignment horizontal="center" vertical="center"/>
    </xf>
    <xf numFmtId="0" fontId="31" fillId="10" borderId="0" xfId="0" applyFont="1" applyFill="1" applyAlignment="1">
      <alignment vertical="center"/>
    </xf>
    <xf numFmtId="3" fontId="0" fillId="10" borderId="0" xfId="0" applyNumberFormat="1" applyFill="1" applyAlignment="1">
      <alignment vertical="center"/>
    </xf>
    <xf numFmtId="3" fontId="9" fillId="4" borderId="4" xfId="0" applyNumberFormat="1" applyFont="1" applyFill="1" applyBorder="1" applyAlignment="1">
      <alignment horizontal="center" vertical="center"/>
    </xf>
    <xf numFmtId="167" fontId="33" fillId="4" borderId="2" xfId="0" applyNumberFormat="1" applyFont="1" applyFill="1" applyBorder="1" applyAlignment="1">
      <alignment horizontal="center" vertical="center"/>
    </xf>
    <xf numFmtId="167" fontId="33" fillId="4" borderId="1" xfId="0" applyNumberFormat="1" applyFont="1" applyFill="1" applyBorder="1" applyAlignment="1">
      <alignment horizontal="center" vertical="center"/>
    </xf>
    <xf numFmtId="0" fontId="0" fillId="4" borderId="4" xfId="0" applyFill="1" applyBorder="1" applyAlignment="1">
      <alignment horizontal="center" vertical="center"/>
    </xf>
    <xf numFmtId="43" fontId="0" fillId="4" borderId="14" xfId="0" applyNumberFormat="1" applyFill="1" applyBorder="1" applyAlignment="1">
      <alignment horizontal="left" vertical="center"/>
    </xf>
    <xf numFmtId="0" fontId="0" fillId="4" borderId="5" xfId="0" applyFill="1" applyBorder="1" applyAlignment="1">
      <alignment horizontal="center" vertical="center"/>
    </xf>
    <xf numFmtId="43" fontId="0" fillId="4" borderId="0" xfId="0" applyNumberFormat="1" applyFill="1" applyAlignment="1">
      <alignment horizontal="left" vertical="center"/>
    </xf>
    <xf numFmtId="0" fontId="0" fillId="4" borderId="6" xfId="0" applyFill="1" applyBorder="1" applyAlignment="1">
      <alignment horizontal="center" vertical="center"/>
    </xf>
    <xf numFmtId="43" fontId="0" fillId="4" borderId="15" xfId="0" applyNumberFormat="1" applyFill="1" applyBorder="1" applyAlignment="1">
      <alignment horizontal="left" vertical="center"/>
    </xf>
    <xf numFmtId="3" fontId="0" fillId="4" borderId="4" xfId="0" applyNumberFormat="1" applyFill="1" applyBorder="1" applyAlignment="1">
      <alignment horizontal="center" vertical="center"/>
    </xf>
    <xf numFmtId="164" fontId="5" fillId="4" borderId="2" xfId="0" applyNumberFormat="1" applyFont="1" applyFill="1" applyBorder="1" applyAlignment="1">
      <alignment horizontal="center" vertical="center"/>
    </xf>
    <xf numFmtId="164" fontId="5" fillId="4" borderId="1" xfId="0" applyNumberFormat="1" applyFont="1" applyFill="1" applyBorder="1" applyAlignment="1">
      <alignment horizontal="center" vertical="center"/>
    </xf>
    <xf numFmtId="165" fontId="3" fillId="4" borderId="1" xfId="1" applyNumberFormat="1" applyFont="1" applyFill="1" applyBorder="1" applyAlignment="1" applyProtection="1">
      <alignment horizontal="center" vertical="center" wrapText="1"/>
    </xf>
    <xf numFmtId="0" fontId="13" fillId="2" borderId="0" xfId="0" applyFont="1" applyFill="1" applyAlignment="1">
      <alignment vertical="center" wrapText="1"/>
    </xf>
    <xf numFmtId="0" fontId="41" fillId="2" borderId="0" xfId="0" applyFont="1" applyFill="1" applyAlignment="1">
      <alignment vertical="center"/>
    </xf>
    <xf numFmtId="0" fontId="43" fillId="2" borderId="15" xfId="0" applyFont="1" applyFill="1" applyBorder="1" applyAlignment="1">
      <alignment horizontal="center" vertical="center"/>
    </xf>
    <xf numFmtId="0" fontId="45" fillId="2" borderId="0" xfId="0" applyFont="1" applyFill="1" applyAlignment="1">
      <alignment horizontal="center"/>
    </xf>
    <xf numFmtId="0" fontId="43" fillId="2" borderId="0" xfId="0" applyFont="1" applyFill="1" applyAlignment="1">
      <alignment horizontal="center" vertical="center"/>
    </xf>
    <xf numFmtId="0" fontId="47" fillId="2" borderId="1" xfId="0" applyFont="1" applyFill="1" applyBorder="1" applyAlignment="1">
      <alignment horizontal="center" vertical="center"/>
    </xf>
    <xf numFmtId="3" fontId="42" fillId="2" borderId="1" xfId="0" applyNumberFormat="1" applyFont="1" applyFill="1" applyBorder="1" applyAlignment="1">
      <alignment horizontal="right" vertical="center" indent="2"/>
    </xf>
    <xf numFmtId="3" fontId="42" fillId="2" borderId="0" xfId="0" applyNumberFormat="1" applyFont="1" applyFill="1" applyAlignment="1">
      <alignment horizontal="right" vertical="center" indent="2"/>
    </xf>
    <xf numFmtId="3" fontId="47" fillId="2" borderId="0" xfId="0" applyNumberFormat="1" applyFont="1" applyFill="1" applyAlignment="1">
      <alignment horizontal="right" vertical="center" indent="2"/>
    </xf>
    <xf numFmtId="3" fontId="48" fillId="2" borderId="0" xfId="0" applyNumberFormat="1" applyFont="1" applyFill="1" applyAlignment="1">
      <alignment horizontal="right" vertical="center" indent="2"/>
    </xf>
    <xf numFmtId="0" fontId="49" fillId="2" borderId="0" xfId="0" applyFont="1" applyFill="1" applyAlignment="1">
      <alignment horizontal="center"/>
    </xf>
    <xf numFmtId="0" fontId="47" fillId="2" borderId="0" xfId="0" applyFont="1" applyFill="1" applyAlignment="1">
      <alignment horizontal="center" vertical="center"/>
    </xf>
    <xf numFmtId="0" fontId="46" fillId="2" borderId="0" xfId="0" applyFont="1" applyFill="1" applyAlignment="1">
      <alignment horizontal="center" vertical="center"/>
    </xf>
    <xf numFmtId="168" fontId="0" fillId="2" borderId="0" xfId="12" applyNumberFormat="1" applyFont="1" applyFill="1"/>
    <xf numFmtId="0" fontId="3" fillId="2" borderId="4" xfId="0" applyFont="1" applyFill="1" applyBorder="1" applyAlignment="1">
      <alignment horizontal="center" vertical="center" wrapText="1"/>
    </xf>
    <xf numFmtId="9" fontId="3" fillId="12" borderId="1" xfId="1" applyFont="1" applyFill="1" applyBorder="1" applyAlignment="1">
      <alignment horizontal="center" vertical="center"/>
    </xf>
    <xf numFmtId="0" fontId="44" fillId="2" borderId="0" xfId="0" applyFont="1" applyFill="1" applyAlignment="1">
      <alignment horizontal="left" vertical="center"/>
    </xf>
    <xf numFmtId="0" fontId="44" fillId="2" borderId="22" xfId="0" applyFont="1" applyFill="1" applyBorder="1" applyAlignment="1">
      <alignment horizontal="left" vertical="center"/>
    </xf>
    <xf numFmtId="3" fontId="55" fillId="2" borderId="0" xfId="0" applyNumberFormat="1" applyFont="1" applyFill="1" applyAlignment="1">
      <alignment horizontal="right" vertical="center" indent="2"/>
    </xf>
    <xf numFmtId="0" fontId="3" fillId="2" borderId="3" xfId="0" applyFont="1" applyFill="1" applyBorder="1" applyAlignment="1">
      <alignment horizontal="center" vertical="center"/>
    </xf>
    <xf numFmtId="0" fontId="3" fillId="5" borderId="1"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3" fillId="5" borderId="11" xfId="0" applyFont="1" applyFill="1" applyBorder="1" applyAlignment="1">
      <alignment horizontal="center" vertical="center" wrapText="1"/>
    </xf>
    <xf numFmtId="0" fontId="3" fillId="5" borderId="5"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18" fillId="14" borderId="1" xfId="0" applyFont="1" applyFill="1" applyBorder="1" applyAlignment="1">
      <alignment horizontal="center" vertical="center" wrapText="1"/>
    </xf>
    <xf numFmtId="0" fontId="3" fillId="15" borderId="1" xfId="0" applyFont="1" applyFill="1" applyBorder="1" applyAlignment="1">
      <alignment horizontal="center" vertical="center" wrapText="1"/>
    </xf>
    <xf numFmtId="0" fontId="3" fillId="16"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9" borderId="4"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3" fillId="2" borderId="4"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6" xfId="0" applyFont="1" applyFill="1" applyBorder="1" applyAlignment="1">
      <alignment horizontal="center" vertical="center"/>
    </xf>
    <xf numFmtId="0" fontId="3" fillId="3" borderId="6" xfId="0" applyFont="1" applyFill="1" applyBorder="1" applyAlignment="1">
      <alignment horizontal="center" vertical="center" wrapText="1"/>
    </xf>
    <xf numFmtId="3" fontId="47" fillId="5" borderId="1" xfId="0" applyNumberFormat="1" applyFont="1" applyFill="1" applyBorder="1" applyAlignment="1">
      <alignment horizontal="right" vertical="center" indent="2"/>
    </xf>
    <xf numFmtId="3" fontId="47" fillId="6" borderId="4" xfId="0" applyNumberFormat="1" applyFont="1" applyFill="1" applyBorder="1" applyAlignment="1">
      <alignment horizontal="right" vertical="center" indent="2"/>
    </xf>
    <xf numFmtId="3" fontId="47" fillId="3" borderId="1" xfId="0" applyNumberFormat="1" applyFont="1" applyFill="1" applyBorder="1" applyAlignment="1">
      <alignment horizontal="right" vertical="center" indent="2"/>
    </xf>
    <xf numFmtId="3" fontId="47" fillId="7" borderId="1" xfId="0" applyNumberFormat="1" applyFont="1" applyFill="1" applyBorder="1" applyAlignment="1">
      <alignment horizontal="right" vertical="center" indent="2"/>
    </xf>
    <xf numFmtId="3" fontId="47" fillId="17" borderId="1" xfId="0" applyNumberFormat="1" applyFont="1" applyFill="1" applyBorder="1" applyAlignment="1">
      <alignment horizontal="right" vertical="center" indent="2"/>
    </xf>
    <xf numFmtId="3" fontId="47" fillId="13" borderId="1" xfId="0" applyNumberFormat="1" applyFont="1" applyFill="1" applyBorder="1" applyAlignment="1">
      <alignment horizontal="right" vertical="center" indent="2"/>
    </xf>
    <xf numFmtId="0" fontId="3" fillId="7" borderId="4" xfId="0" applyFont="1" applyFill="1" applyBorder="1" applyAlignment="1">
      <alignment horizontal="center" vertical="center" wrapText="1"/>
    </xf>
    <xf numFmtId="0" fontId="3" fillId="19" borderId="4" xfId="0" applyFont="1" applyFill="1" applyBorder="1" applyAlignment="1">
      <alignment horizontal="center" vertical="center" wrapText="1"/>
    </xf>
    <xf numFmtId="0" fontId="3" fillId="19" borderId="1" xfId="0" applyFont="1" applyFill="1" applyBorder="1" applyAlignment="1">
      <alignment horizontal="center" vertical="center"/>
    </xf>
    <xf numFmtId="0" fontId="3" fillId="19" borderId="6" xfId="0" applyFont="1" applyFill="1" applyBorder="1" applyAlignment="1">
      <alignment horizontal="center" vertical="center"/>
    </xf>
    <xf numFmtId="0" fontId="3" fillId="19" borderId="6" xfId="0" applyFont="1" applyFill="1" applyBorder="1" applyAlignment="1">
      <alignment horizontal="center" vertical="center" wrapText="1"/>
    </xf>
    <xf numFmtId="0" fontId="3" fillId="19" borderId="1" xfId="0" applyFont="1" applyFill="1" applyBorder="1" applyAlignment="1">
      <alignment horizontal="center" vertical="center" wrapText="1"/>
    </xf>
    <xf numFmtId="0" fontId="6" fillId="19" borderId="1" xfId="0" applyFont="1" applyFill="1" applyBorder="1" applyAlignment="1">
      <alignment horizontal="center" vertical="center" wrapText="1"/>
    </xf>
    <xf numFmtId="0" fontId="11" fillId="19" borderId="2" xfId="4" applyFill="1" applyBorder="1" applyAlignment="1">
      <alignment horizontal="left" vertical="center" wrapText="1" indent="1"/>
    </xf>
    <xf numFmtId="0" fontId="11" fillId="19" borderId="2" xfId="4" applyFill="1" applyBorder="1" applyAlignment="1">
      <alignment horizontal="left" vertical="center" indent="1"/>
    </xf>
    <xf numFmtId="0" fontId="3" fillId="19" borderId="10" xfId="0" applyFont="1" applyFill="1" applyBorder="1" applyAlignment="1">
      <alignment horizontal="center" vertical="center" wrapText="1"/>
    </xf>
    <xf numFmtId="3" fontId="47" fillId="19" borderId="1" xfId="0" applyNumberFormat="1" applyFont="1" applyFill="1" applyBorder="1" applyAlignment="1">
      <alignment horizontal="right" vertical="center" indent="2"/>
    </xf>
    <xf numFmtId="0" fontId="20" fillId="19" borderId="0" xfId="0" applyFont="1" applyFill="1" applyAlignment="1">
      <alignment vertical="center"/>
    </xf>
    <xf numFmtId="0" fontId="0" fillId="19" borderId="0" xfId="0" applyFill="1" applyAlignment="1">
      <alignment vertical="center"/>
    </xf>
    <xf numFmtId="3" fontId="3" fillId="19" borderId="20" xfId="0" applyNumberFormat="1" applyFont="1" applyFill="1" applyBorder="1" applyAlignment="1">
      <alignment horizontal="center" vertical="center"/>
    </xf>
    <xf numFmtId="0" fontId="7" fillId="8" borderId="1" xfId="0" applyFont="1" applyFill="1" applyBorder="1" applyAlignment="1" applyProtection="1">
      <alignment horizontal="center" vertical="center" wrapText="1"/>
      <protection locked="0"/>
    </xf>
    <xf numFmtId="0" fontId="3" fillId="2" borderId="0" xfId="0" applyFont="1" applyFill="1" applyAlignment="1">
      <alignment vertical="center" wrapText="1"/>
    </xf>
    <xf numFmtId="0" fontId="57" fillId="2" borderId="0" xfId="0" applyFont="1" applyFill="1" applyAlignment="1">
      <alignment horizontal="center"/>
    </xf>
    <xf numFmtId="43" fontId="0" fillId="4" borderId="14" xfId="0" applyNumberFormat="1" applyFill="1" applyBorder="1" applyAlignment="1">
      <alignment horizontal="left"/>
    </xf>
    <xf numFmtId="43" fontId="0" fillId="4" borderId="0" xfId="0" applyNumberFormat="1" applyFill="1" applyAlignment="1">
      <alignment horizontal="left"/>
    </xf>
    <xf numFmtId="43" fontId="0" fillId="4" borderId="15" xfId="0" applyNumberFormat="1" applyFill="1" applyBorder="1" applyAlignment="1">
      <alignment horizontal="left"/>
    </xf>
    <xf numFmtId="0" fontId="57" fillId="2" borderId="0" xfId="0" applyFont="1" applyFill="1" applyAlignment="1">
      <alignment horizontal="center" wrapText="1"/>
    </xf>
    <xf numFmtId="0" fontId="0" fillId="10" borderId="0" xfId="0" applyFill="1" applyAlignment="1">
      <alignment horizontal="left" vertical="center" indent="1"/>
    </xf>
    <xf numFmtId="4" fontId="0" fillId="8" borderId="7" xfId="0" applyNumberFormat="1" applyFill="1" applyBorder="1" applyAlignment="1" applyProtection="1">
      <alignment horizontal="right" indent="1"/>
      <protection locked="0"/>
    </xf>
    <xf numFmtId="3" fontId="0" fillId="8" borderId="8" xfId="0" applyNumberFormat="1" applyFill="1" applyBorder="1" applyAlignment="1" applyProtection="1">
      <alignment horizontal="right" indent="1"/>
      <protection locked="0"/>
    </xf>
    <xf numFmtId="3" fontId="0" fillId="8" borderId="5" xfId="0" applyNumberFormat="1" applyFill="1" applyBorder="1" applyAlignment="1" applyProtection="1">
      <alignment horizontal="right" indent="1"/>
      <protection locked="0"/>
    </xf>
    <xf numFmtId="3" fontId="0" fillId="2" borderId="5" xfId="0" applyNumberFormat="1" applyFill="1" applyBorder="1" applyAlignment="1">
      <alignment horizontal="right" indent="1"/>
    </xf>
    <xf numFmtId="165" fontId="0" fillId="4" borderId="5" xfId="0" applyNumberFormat="1" applyFill="1" applyBorder="1" applyAlignment="1">
      <alignment horizontal="right" indent="1"/>
    </xf>
    <xf numFmtId="4" fontId="0" fillId="8" borderId="8" xfId="0" applyNumberFormat="1" applyFill="1" applyBorder="1" applyAlignment="1" applyProtection="1">
      <alignment horizontal="right" indent="1"/>
      <protection locked="0"/>
    </xf>
    <xf numFmtId="4" fontId="0" fillId="8" borderId="9" xfId="0" applyNumberFormat="1" applyFill="1" applyBorder="1" applyAlignment="1" applyProtection="1">
      <alignment horizontal="right" indent="1"/>
      <protection locked="0"/>
    </xf>
    <xf numFmtId="3" fontId="0" fillId="4" borderId="4" xfId="0" applyNumberFormat="1" applyFill="1" applyBorder="1" applyAlignment="1">
      <alignment horizontal="right" indent="1"/>
    </xf>
    <xf numFmtId="166" fontId="0" fillId="4" borderId="4" xfId="0" applyNumberFormat="1" applyFill="1" applyBorder="1" applyAlignment="1">
      <alignment horizontal="right" indent="1"/>
    </xf>
    <xf numFmtId="4" fontId="0" fillId="4" borderId="7" xfId="0" applyNumberFormat="1" applyFill="1" applyBorder="1" applyAlignment="1">
      <alignment horizontal="right" indent="1"/>
    </xf>
    <xf numFmtId="3" fontId="0" fillId="4" borderId="7" xfId="0" applyNumberFormat="1" applyFill="1" applyBorder="1" applyAlignment="1">
      <alignment horizontal="right" indent="1"/>
    </xf>
    <xf numFmtId="0" fontId="0" fillId="2" borderId="0" xfId="0" applyFill="1" applyAlignment="1">
      <alignment horizontal="right" indent="1"/>
    </xf>
    <xf numFmtId="3" fontId="0" fillId="2" borderId="4" xfId="0" applyNumberFormat="1" applyFill="1" applyBorder="1" applyAlignment="1">
      <alignment horizontal="right" indent="1"/>
    </xf>
    <xf numFmtId="3" fontId="0" fillId="2" borderId="7" xfId="0" applyNumberFormat="1" applyFill="1" applyBorder="1" applyAlignment="1">
      <alignment horizontal="right" indent="1"/>
    </xf>
    <xf numFmtId="3" fontId="0" fillId="5" borderId="7" xfId="0" applyNumberFormat="1" applyFill="1" applyBorder="1" applyAlignment="1">
      <alignment horizontal="right" indent="1"/>
    </xf>
    <xf numFmtId="165" fontId="0" fillId="2" borderId="4" xfId="1" applyNumberFormat="1" applyFont="1" applyFill="1" applyBorder="1" applyAlignment="1" applyProtection="1">
      <alignment horizontal="right" indent="1"/>
    </xf>
    <xf numFmtId="3" fontId="0" fillId="4" borderId="5" xfId="0" applyNumberFormat="1" applyFill="1" applyBorder="1" applyAlignment="1">
      <alignment horizontal="right" indent="1"/>
    </xf>
    <xf numFmtId="166" fontId="0" fillId="4" borderId="5" xfId="0" applyNumberFormat="1" applyFill="1" applyBorder="1" applyAlignment="1">
      <alignment horizontal="right" indent="1"/>
    </xf>
    <xf numFmtId="4" fontId="0" fillId="4" borderId="8" xfId="0" applyNumberFormat="1" applyFill="1" applyBorder="1" applyAlignment="1">
      <alignment horizontal="right" indent="1"/>
    </xf>
    <xf numFmtId="3" fontId="0" fillId="4" borderId="8" xfId="0" applyNumberFormat="1" applyFill="1" applyBorder="1" applyAlignment="1">
      <alignment horizontal="right" indent="1"/>
    </xf>
    <xf numFmtId="3" fontId="0" fillId="2" borderId="8" xfId="0" applyNumberFormat="1" applyFill="1" applyBorder="1" applyAlignment="1">
      <alignment horizontal="right" indent="1"/>
    </xf>
    <xf numFmtId="3" fontId="0" fillId="5" borderId="8" xfId="0" applyNumberFormat="1" applyFill="1" applyBorder="1" applyAlignment="1">
      <alignment horizontal="right" indent="1"/>
    </xf>
    <xf numFmtId="165" fontId="0" fillId="2" borderId="5" xfId="1" applyNumberFormat="1" applyFont="1" applyFill="1" applyBorder="1" applyAlignment="1" applyProtection="1">
      <alignment horizontal="right" indent="1"/>
    </xf>
    <xf numFmtId="166" fontId="0" fillId="4" borderId="6" xfId="0" applyNumberFormat="1" applyFill="1" applyBorder="1" applyAlignment="1">
      <alignment horizontal="right" indent="1"/>
    </xf>
    <xf numFmtId="4" fontId="0" fillId="4" borderId="9" xfId="0" applyNumberFormat="1" applyFill="1" applyBorder="1" applyAlignment="1">
      <alignment horizontal="right" indent="1"/>
    </xf>
    <xf numFmtId="3" fontId="0" fillId="2" borderId="6" xfId="0" applyNumberFormat="1" applyFill="1" applyBorder="1" applyAlignment="1">
      <alignment horizontal="right" indent="1"/>
    </xf>
    <xf numFmtId="3" fontId="0" fillId="2" borderId="9" xfId="0" applyNumberFormat="1" applyFill="1" applyBorder="1" applyAlignment="1">
      <alignment horizontal="right" indent="1"/>
    </xf>
    <xf numFmtId="3" fontId="0" fillId="5" borderId="9" xfId="0" applyNumberFormat="1" applyFill="1" applyBorder="1" applyAlignment="1">
      <alignment horizontal="right" indent="1"/>
    </xf>
    <xf numFmtId="165" fontId="0" fillId="2" borderId="6" xfId="1" applyNumberFormat="1" applyFont="1" applyFill="1" applyBorder="1" applyAlignment="1" applyProtection="1">
      <alignment horizontal="right" indent="1"/>
    </xf>
    <xf numFmtId="3" fontId="0" fillId="2" borderId="1" xfId="0" applyNumberFormat="1" applyFill="1" applyBorder="1" applyAlignment="1">
      <alignment horizontal="right" indent="1"/>
    </xf>
    <xf numFmtId="3" fontId="0" fillId="5" borderId="6" xfId="0" applyNumberFormat="1" applyFill="1" applyBorder="1" applyAlignment="1">
      <alignment horizontal="right" indent="1"/>
    </xf>
    <xf numFmtId="165" fontId="1" fillId="2" borderId="1" xfId="1" applyNumberFormat="1" applyFont="1" applyFill="1" applyBorder="1" applyAlignment="1" applyProtection="1">
      <alignment horizontal="right" indent="1"/>
    </xf>
    <xf numFmtId="3" fontId="0" fillId="2" borderId="0" xfId="0" applyNumberFormat="1" applyFill="1" applyAlignment="1">
      <alignment horizontal="right" indent="1"/>
    </xf>
    <xf numFmtId="3" fontId="0" fillId="2" borderId="4" xfId="0" quotePrefix="1" applyNumberFormat="1" applyFill="1" applyBorder="1" applyAlignment="1">
      <alignment horizontal="right" indent="1"/>
    </xf>
    <xf numFmtId="3" fontId="0" fillId="2" borderId="14" xfId="0" applyNumberFormat="1" applyFill="1" applyBorder="1" applyAlignment="1">
      <alignment horizontal="right" indent="1"/>
    </xf>
    <xf numFmtId="3" fontId="0" fillId="5" borderId="4" xfId="0" applyNumberFormat="1" applyFill="1" applyBorder="1" applyAlignment="1">
      <alignment horizontal="right" indent="1"/>
    </xf>
    <xf numFmtId="3" fontId="0" fillId="2" borderId="10" xfId="0" applyNumberFormat="1" applyFill="1" applyBorder="1" applyAlignment="1">
      <alignment horizontal="right" indent="1"/>
    </xf>
    <xf numFmtId="3" fontId="0" fillId="4" borderId="10" xfId="0" applyNumberFormat="1" applyFill="1" applyBorder="1" applyAlignment="1">
      <alignment horizontal="right" indent="1"/>
    </xf>
    <xf numFmtId="3" fontId="0" fillId="2" borderId="5" xfId="0" quotePrefix="1" applyNumberFormat="1" applyFill="1" applyBorder="1" applyAlignment="1">
      <alignment horizontal="right" indent="1"/>
    </xf>
    <xf numFmtId="3" fontId="0" fillId="5" borderId="5" xfId="0" applyNumberFormat="1" applyFill="1" applyBorder="1" applyAlignment="1">
      <alignment horizontal="right" indent="1"/>
    </xf>
    <xf numFmtId="3" fontId="0" fillId="2" borderId="11" xfId="0" applyNumberFormat="1" applyFill="1" applyBorder="1" applyAlignment="1">
      <alignment horizontal="right" indent="1"/>
    </xf>
    <xf numFmtId="3" fontId="0" fillId="4" borderId="11" xfId="0" applyNumberFormat="1" applyFill="1" applyBorder="1" applyAlignment="1">
      <alignment horizontal="right" indent="1"/>
    </xf>
    <xf numFmtId="3" fontId="0" fillId="4" borderId="9" xfId="0" applyNumberFormat="1" applyFill="1" applyBorder="1" applyAlignment="1">
      <alignment horizontal="right" indent="1"/>
    </xf>
    <xf numFmtId="3" fontId="0" fillId="4" borderId="6" xfId="0" applyNumberFormat="1" applyFill="1" applyBorder="1" applyAlignment="1">
      <alignment horizontal="right" indent="1"/>
    </xf>
    <xf numFmtId="3" fontId="0" fillId="2" borderId="6" xfId="0" quotePrefix="1" applyNumberFormat="1" applyFill="1" applyBorder="1" applyAlignment="1">
      <alignment horizontal="right" indent="1"/>
    </xf>
    <xf numFmtId="3" fontId="0" fillId="2" borderId="15" xfId="0" applyNumberFormat="1" applyFill="1" applyBorder="1" applyAlignment="1">
      <alignment horizontal="right" indent="1"/>
    </xf>
    <xf numFmtId="3" fontId="0" fillId="2" borderId="12" xfId="0" applyNumberFormat="1" applyFill="1" applyBorder="1" applyAlignment="1">
      <alignment horizontal="right" indent="1"/>
    </xf>
    <xf numFmtId="3" fontId="0" fillId="5" borderId="1" xfId="0" applyNumberFormat="1" applyFill="1" applyBorder="1" applyAlignment="1">
      <alignment horizontal="right" indent="1"/>
    </xf>
    <xf numFmtId="9" fontId="0" fillId="2" borderId="1" xfId="1" applyFont="1" applyFill="1" applyBorder="1" applyAlignment="1" applyProtection="1">
      <alignment horizontal="right" indent="1"/>
    </xf>
    <xf numFmtId="4" fontId="0" fillId="2" borderId="7" xfId="0" applyNumberFormat="1" applyFill="1" applyBorder="1" applyAlignment="1">
      <alignment horizontal="right" indent="1"/>
    </xf>
    <xf numFmtId="3" fontId="0" fillId="9" borderId="4" xfId="0" applyNumberFormat="1" applyFill="1" applyBorder="1" applyAlignment="1">
      <alignment horizontal="right" indent="1"/>
    </xf>
    <xf numFmtId="3" fontId="0" fillId="4" borderId="0" xfId="0" applyNumberFormat="1" applyFill="1" applyAlignment="1">
      <alignment horizontal="right" indent="1"/>
    </xf>
    <xf numFmtId="4" fontId="0" fillId="2" borderId="14" xfId="0" applyNumberFormat="1" applyFill="1" applyBorder="1" applyAlignment="1">
      <alignment horizontal="right" indent="1"/>
    </xf>
    <xf numFmtId="4" fontId="0" fillId="2" borderId="8" xfId="0" applyNumberFormat="1" applyFill="1" applyBorder="1" applyAlignment="1">
      <alignment horizontal="right" indent="1"/>
    </xf>
    <xf numFmtId="3" fontId="0" fillId="9" borderId="5" xfId="0" applyNumberFormat="1" applyFill="1" applyBorder="1" applyAlignment="1">
      <alignment horizontal="right" indent="1"/>
    </xf>
    <xf numFmtId="4" fontId="0" fillId="2" borderId="0" xfId="0" applyNumberFormat="1" applyFill="1" applyAlignment="1">
      <alignment horizontal="right" indent="1"/>
    </xf>
    <xf numFmtId="4" fontId="0" fillId="2" borderId="9" xfId="0" applyNumberFormat="1" applyFill="1" applyBorder="1" applyAlignment="1">
      <alignment horizontal="right" indent="1"/>
    </xf>
    <xf numFmtId="3" fontId="0" fillId="9" borderId="6" xfId="0" applyNumberFormat="1" applyFill="1" applyBorder="1" applyAlignment="1">
      <alignment horizontal="right" indent="1"/>
    </xf>
    <xf numFmtId="3" fontId="0" fillId="4" borderId="12" xfId="0" applyNumberFormat="1" applyFill="1" applyBorder="1" applyAlignment="1">
      <alignment horizontal="right" indent="1"/>
    </xf>
    <xf numFmtId="4" fontId="0" fillId="2" borderId="15" xfId="0" applyNumberFormat="1" applyFill="1" applyBorder="1" applyAlignment="1">
      <alignment horizontal="right" indent="1"/>
    </xf>
    <xf numFmtId="3" fontId="0" fillId="4" borderId="1" xfId="0" applyNumberFormat="1" applyFill="1" applyBorder="1" applyAlignment="1">
      <alignment horizontal="right" indent="1"/>
    </xf>
    <xf numFmtId="3" fontId="0" fillId="2" borderId="2" xfId="0" applyNumberFormat="1" applyFill="1" applyBorder="1" applyAlignment="1">
      <alignment horizontal="right" indent="1"/>
    </xf>
    <xf numFmtId="3" fontId="0" fillId="2" borderId="6" xfId="1" applyNumberFormat="1" applyFont="1" applyFill="1" applyBorder="1" applyAlignment="1" applyProtection="1">
      <alignment horizontal="right" indent="1"/>
    </xf>
    <xf numFmtId="4" fontId="0" fillId="2" borderId="1" xfId="0" applyNumberFormat="1" applyFill="1" applyBorder="1" applyAlignment="1">
      <alignment horizontal="right" indent="1"/>
    </xf>
    <xf numFmtId="3" fontId="0" fillId="4" borderId="4" xfId="0" applyNumberFormat="1" applyFill="1" applyBorder="1" applyAlignment="1">
      <alignment horizontal="right" vertical="center" indent="1"/>
    </xf>
    <xf numFmtId="3" fontId="0" fillId="2" borderId="10" xfId="0" applyNumberFormat="1" applyFill="1" applyBorder="1" applyAlignment="1">
      <alignment horizontal="right" vertical="center" indent="1"/>
    </xf>
    <xf numFmtId="3" fontId="0" fillId="2" borderId="4" xfId="0" applyNumberFormat="1" applyFill="1" applyBorder="1" applyAlignment="1">
      <alignment horizontal="right" vertical="center" indent="1"/>
    </xf>
    <xf numFmtId="3" fontId="0" fillId="2" borderId="14" xfId="0" applyNumberFormat="1" applyFill="1" applyBorder="1" applyAlignment="1">
      <alignment horizontal="right" vertical="center" indent="1"/>
    </xf>
    <xf numFmtId="3" fontId="0" fillId="2" borderId="7" xfId="0" applyNumberFormat="1" applyFill="1" applyBorder="1" applyAlignment="1">
      <alignment horizontal="right" vertical="center" indent="1"/>
    </xf>
    <xf numFmtId="3" fontId="0" fillId="2" borderId="0" xfId="0" applyNumberFormat="1" applyFill="1" applyAlignment="1">
      <alignment horizontal="right" vertical="center" indent="1"/>
    </xf>
    <xf numFmtId="3" fontId="0" fillId="2" borderId="11" xfId="0" applyNumberFormat="1" applyFill="1" applyBorder="1" applyAlignment="1">
      <alignment horizontal="right" vertical="center" indent="1"/>
    </xf>
    <xf numFmtId="3" fontId="0" fillId="3" borderId="7" xfId="0" applyNumberFormat="1" applyFill="1" applyBorder="1" applyAlignment="1">
      <alignment horizontal="right" vertical="center" indent="1"/>
    </xf>
    <xf numFmtId="3" fontId="0" fillId="4" borderId="10" xfId="0" applyNumberFormat="1" applyFill="1" applyBorder="1" applyAlignment="1">
      <alignment horizontal="right" vertical="center" indent="1"/>
    </xf>
    <xf numFmtId="3" fontId="0" fillId="3" borderId="4" xfId="0" applyNumberFormat="1" applyFill="1" applyBorder="1" applyAlignment="1">
      <alignment horizontal="right" vertical="center" indent="1"/>
    </xf>
    <xf numFmtId="3" fontId="0" fillId="4" borderId="5" xfId="0" applyNumberFormat="1" applyFill="1" applyBorder="1" applyAlignment="1">
      <alignment horizontal="right" vertical="center" indent="1"/>
    </xf>
    <xf numFmtId="3" fontId="0" fillId="2" borderId="5" xfId="0" applyNumberFormat="1" applyFill="1" applyBorder="1" applyAlignment="1">
      <alignment horizontal="right" vertical="center" indent="1"/>
    </xf>
    <xf numFmtId="3" fontId="0" fillId="2" borderId="8" xfId="0" applyNumberFormat="1" applyFill="1" applyBorder="1" applyAlignment="1">
      <alignment horizontal="right" vertical="center" indent="1"/>
    </xf>
    <xf numFmtId="3" fontId="0" fillId="3" borderId="8" xfId="0" applyNumberFormat="1" applyFill="1" applyBorder="1" applyAlignment="1">
      <alignment horizontal="right" vertical="center" indent="1"/>
    </xf>
    <xf numFmtId="3" fontId="0" fillId="4" borderId="11" xfId="0" applyNumberFormat="1" applyFill="1" applyBorder="1" applyAlignment="1">
      <alignment horizontal="right" vertical="center" indent="1"/>
    </xf>
    <xf numFmtId="3" fontId="0" fillId="3" borderId="5" xfId="0" applyNumberFormat="1" applyFill="1" applyBorder="1" applyAlignment="1">
      <alignment horizontal="right" vertical="center" indent="1"/>
    </xf>
    <xf numFmtId="3" fontId="0" fillId="4" borderId="6" xfId="0" applyNumberFormat="1" applyFill="1" applyBorder="1" applyAlignment="1">
      <alignment horizontal="right" vertical="center" indent="1"/>
    </xf>
    <xf numFmtId="3" fontId="0" fillId="2" borderId="12" xfId="0" applyNumberFormat="1" applyFill="1" applyBorder="1" applyAlignment="1">
      <alignment horizontal="right" vertical="center" indent="1"/>
    </xf>
    <xf numFmtId="3" fontId="0" fillId="2" borderId="6" xfId="0" applyNumberFormat="1" applyFill="1" applyBorder="1" applyAlignment="1">
      <alignment horizontal="right" vertical="center" indent="1"/>
    </xf>
    <xf numFmtId="3" fontId="0" fillId="2" borderId="15" xfId="0" applyNumberFormat="1" applyFill="1" applyBorder="1" applyAlignment="1">
      <alignment horizontal="right" vertical="center" indent="1"/>
    </xf>
    <xf numFmtId="3" fontId="0" fillId="2" borderId="9" xfId="0" applyNumberFormat="1" applyFill="1" applyBorder="1" applyAlignment="1">
      <alignment horizontal="right" vertical="center" indent="1"/>
    </xf>
    <xf numFmtId="3" fontId="0" fillId="3" borderId="9" xfId="0" applyNumberFormat="1" applyFill="1" applyBorder="1" applyAlignment="1">
      <alignment horizontal="right" vertical="center" indent="1"/>
    </xf>
    <xf numFmtId="3" fontId="0" fillId="4" borderId="12" xfId="0" applyNumberFormat="1" applyFill="1" applyBorder="1" applyAlignment="1">
      <alignment horizontal="right" vertical="center" indent="1"/>
    </xf>
    <xf numFmtId="3" fontId="0" fillId="3" borderId="6" xfId="0" applyNumberFormat="1" applyFill="1" applyBorder="1" applyAlignment="1">
      <alignment horizontal="right" vertical="center" indent="1"/>
    </xf>
    <xf numFmtId="3" fontId="0" fillId="2" borderId="1" xfId="0" applyNumberFormat="1" applyFill="1" applyBorder="1" applyAlignment="1">
      <alignment horizontal="right" vertical="center" indent="1"/>
    </xf>
    <xf numFmtId="0" fontId="0" fillId="2" borderId="0" xfId="0" applyFill="1" applyAlignment="1">
      <alignment horizontal="right" vertical="center" indent="1"/>
    </xf>
    <xf numFmtId="0" fontId="0" fillId="3" borderId="6" xfId="0" applyFill="1" applyBorder="1" applyAlignment="1">
      <alignment horizontal="right" vertical="center" indent="1"/>
    </xf>
    <xf numFmtId="3" fontId="0" fillId="4" borderId="14" xfId="0" applyNumberFormat="1" applyFill="1" applyBorder="1" applyAlignment="1">
      <alignment horizontal="right" vertical="center" indent="1"/>
    </xf>
    <xf numFmtId="3" fontId="0" fillId="19" borderId="4" xfId="0" applyNumberFormat="1" applyFill="1" applyBorder="1" applyAlignment="1">
      <alignment horizontal="right" vertical="center" indent="1"/>
    </xf>
    <xf numFmtId="3" fontId="0" fillId="4" borderId="0" xfId="0" applyNumberFormat="1" applyFill="1" applyAlignment="1">
      <alignment horizontal="right" vertical="center" indent="1"/>
    </xf>
    <xf numFmtId="3" fontId="0" fillId="19" borderId="5" xfId="0" applyNumberFormat="1" applyFill="1" applyBorder="1" applyAlignment="1">
      <alignment horizontal="right" vertical="center" indent="1"/>
    </xf>
    <xf numFmtId="3" fontId="0" fillId="4" borderId="15" xfId="0" applyNumberFormat="1" applyFill="1" applyBorder="1" applyAlignment="1">
      <alignment horizontal="right" vertical="center" indent="1"/>
    </xf>
    <xf numFmtId="3" fontId="0" fillId="19" borderId="6" xfId="0" applyNumberFormat="1" applyFill="1" applyBorder="1" applyAlignment="1">
      <alignment horizontal="right" vertical="center" indent="1"/>
    </xf>
    <xf numFmtId="3" fontId="0" fillId="2" borderId="2" xfId="0" applyNumberFormat="1" applyFill="1" applyBorder="1" applyAlignment="1">
      <alignment horizontal="right" vertical="center" indent="1"/>
    </xf>
    <xf numFmtId="0" fontId="0" fillId="2" borderId="1" xfId="0" applyFill="1" applyBorder="1" applyAlignment="1">
      <alignment horizontal="right" vertical="center" indent="1"/>
    </xf>
    <xf numFmtId="3" fontId="0" fillId="2" borderId="3" xfId="0" applyNumberFormat="1" applyFill="1" applyBorder="1" applyAlignment="1">
      <alignment horizontal="right" vertical="center" indent="1"/>
    </xf>
    <xf numFmtId="3" fontId="0" fillId="4" borderId="7" xfId="0" applyNumberFormat="1" applyFill="1" applyBorder="1" applyAlignment="1">
      <alignment horizontal="right" vertical="center" indent="1"/>
    </xf>
    <xf numFmtId="3" fontId="0" fillId="7" borderId="4" xfId="0" applyNumberFormat="1" applyFill="1" applyBorder="1" applyAlignment="1">
      <alignment horizontal="right" vertical="center" indent="1"/>
    </xf>
    <xf numFmtId="3" fontId="0" fillId="4" borderId="8" xfId="0" applyNumberFormat="1" applyFill="1" applyBorder="1" applyAlignment="1">
      <alignment horizontal="right" vertical="center" indent="1"/>
    </xf>
    <xf numFmtId="3" fontId="0" fillId="7" borderId="5" xfId="0" applyNumberFormat="1" applyFill="1" applyBorder="1" applyAlignment="1">
      <alignment horizontal="right" vertical="center" indent="1"/>
    </xf>
    <xf numFmtId="3" fontId="0" fillId="4" borderId="9" xfId="0" applyNumberFormat="1" applyFill="1" applyBorder="1" applyAlignment="1">
      <alignment horizontal="right" vertical="center" indent="1"/>
    </xf>
    <xf numFmtId="3" fontId="0" fillId="7" borderId="6" xfId="0" applyNumberFormat="1" applyFill="1" applyBorder="1" applyAlignment="1">
      <alignment horizontal="right" vertical="center" indent="1"/>
    </xf>
    <xf numFmtId="3" fontId="0" fillId="2" borderId="13" xfId="0" applyNumberFormat="1" applyFill="1" applyBorder="1" applyAlignment="1">
      <alignment horizontal="right" vertical="center" indent="1"/>
    </xf>
    <xf numFmtId="3" fontId="58" fillId="2" borderId="0" xfId="0" applyNumberFormat="1" applyFont="1" applyFill="1" applyAlignment="1">
      <alignment horizontal="right" indent="1"/>
    </xf>
    <xf numFmtId="0" fontId="51" fillId="2" borderId="0" xfId="0" quotePrefix="1" applyFont="1" applyFill="1" applyAlignment="1">
      <alignment vertical="center"/>
    </xf>
    <xf numFmtId="0" fontId="50" fillId="2" borderId="0" xfId="0" applyFont="1" applyFill="1" applyAlignment="1">
      <alignment vertical="center"/>
    </xf>
    <xf numFmtId="166" fontId="34" fillId="2" borderId="0" xfId="4" applyNumberFormat="1" applyFont="1" applyFill="1" applyBorder="1" applyAlignment="1" applyProtection="1">
      <alignment horizontal="center" vertical="center" wrapText="1"/>
    </xf>
    <xf numFmtId="0" fontId="41" fillId="2" borderId="3" xfId="0" applyFont="1" applyFill="1" applyBorder="1" applyAlignment="1">
      <alignment horizontal="left" vertical="center"/>
    </xf>
    <xf numFmtId="166" fontId="34" fillId="2" borderId="0" xfId="4" applyNumberFormat="1" applyFont="1" applyFill="1" applyBorder="1" applyAlignment="1" applyProtection="1">
      <alignment vertical="center" wrapText="1"/>
    </xf>
    <xf numFmtId="0" fontId="41" fillId="2" borderId="3" xfId="0" applyFont="1" applyFill="1" applyBorder="1" applyAlignment="1">
      <alignment vertical="center"/>
    </xf>
    <xf numFmtId="3" fontId="42" fillId="2" borderId="3" xfId="0" applyNumberFormat="1" applyFont="1" applyFill="1" applyBorder="1" applyAlignment="1">
      <alignment horizontal="right" vertical="center" indent="2"/>
    </xf>
    <xf numFmtId="0" fontId="43" fillId="4" borderId="3" xfId="0" applyFont="1" applyFill="1" applyBorder="1" applyAlignment="1">
      <alignment vertical="center"/>
    </xf>
    <xf numFmtId="3" fontId="47" fillId="4" borderId="1" xfId="0" applyNumberFormat="1" applyFont="1" applyFill="1" applyBorder="1" applyAlignment="1">
      <alignment horizontal="right" vertical="center" indent="2"/>
    </xf>
    <xf numFmtId="4" fontId="42" fillId="2" borderId="1" xfId="0" applyNumberFormat="1" applyFont="1" applyFill="1" applyBorder="1" applyAlignment="1">
      <alignment horizontal="right" vertical="center" indent="2"/>
    </xf>
    <xf numFmtId="0" fontId="38" fillId="10" borderId="7" xfId="10" applyFont="1" applyFill="1" applyBorder="1" applyAlignment="1">
      <alignment horizontal="left" vertical="center" wrapText="1"/>
    </xf>
    <xf numFmtId="0" fontId="38" fillId="10" borderId="8" xfId="10" applyFont="1" applyFill="1" applyBorder="1" applyAlignment="1">
      <alignment horizontal="left" vertical="center" wrapText="1"/>
    </xf>
    <xf numFmtId="0" fontId="38" fillId="10" borderId="9" xfId="10" applyFont="1" applyFill="1" applyBorder="1" applyAlignment="1">
      <alignment horizontal="left" vertical="center" wrapText="1"/>
    </xf>
    <xf numFmtId="0" fontId="35" fillId="2" borderId="0" xfId="10" applyFill="1" applyAlignment="1">
      <alignment horizontal="left" vertical="center"/>
    </xf>
    <xf numFmtId="0" fontId="38" fillId="5" borderId="3" xfId="10" applyFont="1" applyFill="1" applyBorder="1" applyAlignment="1">
      <alignment horizontal="left" vertical="center" wrapText="1"/>
    </xf>
    <xf numFmtId="0" fontId="38" fillId="6" borderId="3" xfId="10" applyFont="1" applyFill="1" applyBorder="1" applyAlignment="1">
      <alignment horizontal="left" vertical="center" wrapText="1"/>
    </xf>
    <xf numFmtId="0" fontId="38" fillId="3" borderId="9" xfId="10" applyFont="1" applyFill="1" applyBorder="1" applyAlignment="1">
      <alignment horizontal="left" vertical="center" wrapText="1"/>
    </xf>
    <xf numFmtId="0" fontId="38" fillId="19" borderId="3" xfId="10" applyFont="1" applyFill="1" applyBorder="1" applyAlignment="1">
      <alignment horizontal="left" vertical="center" wrapText="1"/>
    </xf>
    <xf numFmtId="0" fontId="38" fillId="7" borderId="3" xfId="10" applyFont="1" applyFill="1" applyBorder="1" applyAlignment="1">
      <alignment horizontal="left" vertical="center" wrapText="1"/>
    </xf>
    <xf numFmtId="169" fontId="0" fillId="2" borderId="1" xfId="0" applyNumberFormat="1" applyFill="1" applyBorder="1" applyAlignment="1">
      <alignment horizontal="center" vertical="center"/>
    </xf>
    <xf numFmtId="165" fontId="0" fillId="2" borderId="0" xfId="1" applyNumberFormat="1" applyFont="1" applyFill="1" applyBorder="1" applyAlignment="1" applyProtection="1">
      <alignment horizontal="center"/>
    </xf>
    <xf numFmtId="165" fontId="0" fillId="2" borderId="0" xfId="0" applyNumberFormat="1" applyFill="1" applyAlignment="1">
      <alignment horizontal="center"/>
    </xf>
    <xf numFmtId="165" fontId="0" fillId="2" borderId="0" xfId="0" applyNumberFormat="1" applyFill="1"/>
    <xf numFmtId="165" fontId="0" fillId="2" borderId="0" xfId="1" applyNumberFormat="1" applyFont="1" applyFill="1" applyAlignment="1" applyProtection="1">
      <alignment horizontal="center"/>
    </xf>
    <xf numFmtId="170" fontId="0" fillId="2" borderId="0" xfId="0" applyNumberFormat="1" applyFill="1" applyAlignment="1">
      <alignment vertical="center"/>
    </xf>
    <xf numFmtId="165" fontId="42" fillId="2" borderId="3" xfId="1" applyNumberFormat="1" applyFont="1" applyFill="1" applyBorder="1" applyAlignment="1" applyProtection="1">
      <alignment horizontal="right" vertical="center" indent="2"/>
    </xf>
    <xf numFmtId="0" fontId="44" fillId="2" borderId="0" xfId="0" applyFont="1" applyFill="1" applyAlignment="1">
      <alignment vertical="center"/>
    </xf>
    <xf numFmtId="0" fontId="3" fillId="14" borderId="4" xfId="0" applyFont="1" applyFill="1" applyBorder="1" applyAlignment="1">
      <alignment horizontal="center" vertical="center" wrapText="1"/>
    </xf>
    <xf numFmtId="0" fontId="18" fillId="21" borderId="4" xfId="0" applyFont="1" applyFill="1" applyBorder="1" applyAlignment="1">
      <alignment horizontal="center" vertical="center" wrapText="1"/>
    </xf>
    <xf numFmtId="3" fontId="0" fillId="8" borderId="10" xfId="0" applyNumberFormat="1" applyFill="1" applyBorder="1" applyAlignment="1" applyProtection="1">
      <alignment horizontal="right" indent="1"/>
      <protection locked="0"/>
    </xf>
    <xf numFmtId="3" fontId="0" fillId="8" borderId="11" xfId="0" applyNumberFormat="1" applyFill="1" applyBorder="1" applyAlignment="1" applyProtection="1">
      <alignment horizontal="right" indent="1"/>
      <protection locked="0"/>
    </xf>
    <xf numFmtId="3" fontId="0" fillId="8" borderId="12" xfId="0" applyNumberFormat="1" applyFill="1" applyBorder="1" applyAlignment="1" applyProtection="1">
      <alignment horizontal="right" indent="1"/>
      <protection locked="0"/>
    </xf>
    <xf numFmtId="166" fontId="0" fillId="8" borderId="4" xfId="0" applyNumberFormat="1" applyFill="1" applyBorder="1" applyAlignment="1" applyProtection="1">
      <alignment horizontal="right" indent="1"/>
      <protection locked="0"/>
    </xf>
    <xf numFmtId="166" fontId="0" fillId="8" borderId="5" xfId="0" applyNumberFormat="1" applyFill="1" applyBorder="1" applyAlignment="1" applyProtection="1">
      <alignment horizontal="right" indent="1"/>
      <protection locked="0"/>
    </xf>
    <xf numFmtId="166" fontId="0" fillId="8" borderId="6" xfId="0" applyNumberFormat="1" applyFill="1" applyBorder="1" applyAlignment="1" applyProtection="1">
      <alignment horizontal="right" indent="1"/>
      <protection locked="0"/>
    </xf>
    <xf numFmtId="0" fontId="49" fillId="2" borderId="0" xfId="0" applyFont="1" applyFill="1" applyAlignment="1">
      <alignment horizontal="center" vertical="center"/>
    </xf>
    <xf numFmtId="3" fontId="60" fillId="2" borderId="0" xfId="0" applyNumberFormat="1" applyFont="1" applyFill="1" applyAlignment="1">
      <alignment horizontal="right" vertical="center" indent="2"/>
    </xf>
    <xf numFmtId="3" fontId="61" fillId="2" borderId="0" xfId="0" applyNumberFormat="1" applyFont="1" applyFill="1" applyAlignment="1">
      <alignment horizontal="right" vertical="center" indent="2"/>
    </xf>
    <xf numFmtId="0" fontId="59" fillId="2" borderId="0" xfId="0" applyFont="1" applyFill="1" applyAlignment="1">
      <alignment vertical="center"/>
    </xf>
    <xf numFmtId="0" fontId="60" fillId="2" borderId="0" xfId="0" applyFont="1" applyFill="1" applyAlignment="1">
      <alignment vertical="center"/>
    </xf>
    <xf numFmtId="0" fontId="13" fillId="2" borderId="14" xfId="0" applyFont="1" applyFill="1" applyBorder="1" applyAlignment="1">
      <alignment vertical="center" wrapText="1"/>
    </xf>
    <xf numFmtId="0" fontId="13" fillId="2" borderId="0" xfId="0" applyFont="1" applyFill="1" applyAlignment="1">
      <alignment horizontal="center" vertical="center" wrapText="1"/>
    </xf>
    <xf numFmtId="3" fontId="49" fillId="10" borderId="1" xfId="0" applyNumberFormat="1" applyFont="1" applyFill="1" applyBorder="1" applyAlignment="1">
      <alignment horizontal="right" vertical="center" indent="2"/>
    </xf>
    <xf numFmtId="3" fontId="59" fillId="22" borderId="1" xfId="0" applyNumberFormat="1" applyFont="1" applyFill="1" applyBorder="1" applyAlignment="1">
      <alignment horizontal="right" vertical="center" indent="2"/>
    </xf>
    <xf numFmtId="3" fontId="59" fillId="22" borderId="4" xfId="0" applyNumberFormat="1" applyFont="1" applyFill="1" applyBorder="1" applyAlignment="1">
      <alignment horizontal="right" vertical="center" indent="2"/>
    </xf>
    <xf numFmtId="3" fontId="59" fillId="23" borderId="1" xfId="0" applyNumberFormat="1" applyFont="1" applyFill="1" applyBorder="1" applyAlignment="1">
      <alignment horizontal="right" vertical="center" indent="2"/>
    </xf>
    <xf numFmtId="3" fontId="0" fillId="4" borderId="4" xfId="0" applyNumberFormat="1" applyFill="1" applyBorder="1"/>
    <xf numFmtId="3" fontId="0" fillId="4" borderId="7" xfId="0" applyNumberFormat="1" applyFill="1" applyBorder="1"/>
    <xf numFmtId="3" fontId="0" fillId="2" borderId="4" xfId="0" applyNumberFormat="1" applyFill="1" applyBorder="1"/>
    <xf numFmtId="3" fontId="0" fillId="2" borderId="7" xfId="0" applyNumberFormat="1" applyFill="1" applyBorder="1"/>
    <xf numFmtId="3" fontId="0" fillId="2" borderId="14" xfId="0" applyNumberFormat="1" applyFill="1" applyBorder="1"/>
    <xf numFmtId="3" fontId="0" fillId="2" borderId="5" xfId="0" applyNumberFormat="1" applyFill="1" applyBorder="1"/>
    <xf numFmtId="3" fontId="0" fillId="2" borderId="11" xfId="0" applyNumberFormat="1" applyFill="1" applyBorder="1"/>
    <xf numFmtId="3" fontId="0" fillId="7" borderId="4" xfId="0" applyNumberFormat="1" applyFill="1" applyBorder="1"/>
    <xf numFmtId="3" fontId="0" fillId="4" borderId="5" xfId="0" applyNumberFormat="1" applyFill="1" applyBorder="1"/>
    <xf numFmtId="3" fontId="0" fillId="4" borderId="8" xfId="0" applyNumberFormat="1" applyFill="1" applyBorder="1"/>
    <xf numFmtId="3" fontId="0" fillId="2" borderId="8" xfId="0" applyNumberFormat="1" applyFill="1" applyBorder="1"/>
    <xf numFmtId="3" fontId="0" fillId="7" borderId="5" xfId="0" applyNumberFormat="1" applyFill="1" applyBorder="1"/>
    <xf numFmtId="3" fontId="0" fillId="4" borderId="6" xfId="0" applyNumberFormat="1" applyFill="1" applyBorder="1"/>
    <xf numFmtId="3" fontId="0" fillId="4" borderId="9" xfId="0" applyNumberFormat="1" applyFill="1" applyBorder="1"/>
    <xf numFmtId="3" fontId="0" fillId="2" borderId="9" xfId="0" applyNumberFormat="1" applyFill="1" applyBorder="1"/>
    <xf numFmtId="3" fontId="0" fillId="2" borderId="15" xfId="0" applyNumberFormat="1" applyFill="1" applyBorder="1"/>
    <xf numFmtId="3" fontId="0" fillId="2" borderId="6" xfId="0" applyNumberFormat="1" applyFill="1" applyBorder="1"/>
    <xf numFmtId="3" fontId="0" fillId="7" borderId="6" xfId="0" applyNumberFormat="1" applyFill="1" applyBorder="1"/>
    <xf numFmtId="3" fontId="0" fillId="2" borderId="1" xfId="0" applyNumberFormat="1" applyFill="1" applyBorder="1"/>
    <xf numFmtId="3" fontId="0" fillId="2" borderId="3" xfId="0" applyNumberFormat="1" applyFill="1" applyBorder="1"/>
    <xf numFmtId="3" fontId="0" fillId="2" borderId="13" xfId="0" applyNumberFormat="1" applyFill="1" applyBorder="1"/>
    <xf numFmtId="3" fontId="0" fillId="2" borderId="2" xfId="0" applyNumberFormat="1" applyFill="1" applyBorder="1"/>
    <xf numFmtId="3" fontId="0" fillId="7" borderId="6" xfId="0" applyNumberFormat="1" applyFill="1" applyBorder="1" applyAlignment="1">
      <alignment horizontal="right"/>
    </xf>
    <xf numFmtId="168" fontId="0" fillId="2" borderId="4" xfId="12" applyNumberFormat="1" applyFont="1" applyFill="1" applyBorder="1"/>
    <xf numFmtId="168" fontId="0" fillId="2" borderId="5" xfId="12" applyNumberFormat="1" applyFont="1" applyFill="1" applyBorder="1"/>
    <xf numFmtId="168" fontId="0" fillId="2" borderId="6" xfId="12" applyNumberFormat="1" applyFont="1" applyFill="1" applyBorder="1"/>
    <xf numFmtId="168" fontId="0" fillId="2" borderId="1" xfId="0" applyNumberFormat="1" applyFill="1" applyBorder="1"/>
    <xf numFmtId="0" fontId="49" fillId="2" borderId="0" xfId="0" applyFont="1" applyFill="1" applyAlignment="1">
      <alignment horizontal="center" vertical="center" wrapText="1"/>
    </xf>
    <xf numFmtId="3" fontId="59" fillId="2" borderId="0" xfId="0" applyNumberFormat="1" applyFont="1" applyFill="1" applyAlignment="1">
      <alignment horizontal="right" vertical="center" indent="2"/>
    </xf>
    <xf numFmtId="3" fontId="49" fillId="2" borderId="0" xfId="0" applyNumberFormat="1" applyFont="1" applyFill="1" applyAlignment="1">
      <alignment horizontal="right" vertical="center" indent="2"/>
    </xf>
    <xf numFmtId="165" fontId="5" fillId="4" borderId="7" xfId="0" applyNumberFormat="1" applyFont="1" applyFill="1" applyBorder="1" applyAlignment="1">
      <alignment horizontal="center" vertical="center"/>
    </xf>
    <xf numFmtId="0" fontId="3" fillId="2" borderId="1" xfId="0" applyFont="1" applyFill="1" applyBorder="1" applyAlignment="1">
      <alignment horizontal="center"/>
    </xf>
    <xf numFmtId="0" fontId="34" fillId="2" borderId="0" xfId="4" applyFont="1" applyFill="1" applyAlignment="1" applyProtection="1">
      <alignment horizontal="center" vertical="center" wrapText="1"/>
    </xf>
    <xf numFmtId="165" fontId="0" fillId="4" borderId="4" xfId="1" applyNumberFormat="1" applyFont="1" applyFill="1" applyBorder="1" applyAlignment="1" applyProtection="1">
      <alignment horizontal="right" indent="1"/>
    </xf>
    <xf numFmtId="165" fontId="0" fillId="4" borderId="5" xfId="1" applyNumberFormat="1" applyFont="1" applyFill="1" applyBorder="1" applyAlignment="1" applyProtection="1">
      <alignment horizontal="right" indent="1"/>
    </xf>
    <xf numFmtId="165" fontId="0" fillId="4" borderId="6" xfId="1" applyNumberFormat="1" applyFont="1" applyFill="1" applyBorder="1" applyAlignment="1" applyProtection="1">
      <alignment horizontal="right" indent="1"/>
    </xf>
    <xf numFmtId="166" fontId="34" fillId="2" borderId="0" xfId="4" applyNumberFormat="1" applyFont="1" applyFill="1" applyAlignment="1" applyProtection="1">
      <alignment vertical="center" wrapText="1"/>
    </xf>
    <xf numFmtId="3" fontId="0" fillId="2" borderId="1" xfId="1" applyNumberFormat="1" applyFont="1" applyFill="1" applyBorder="1" applyAlignment="1" applyProtection="1">
      <alignment horizontal="center" vertical="center"/>
    </xf>
    <xf numFmtId="0" fontId="0" fillId="10" borderId="0" xfId="0" applyFill="1" applyAlignment="1">
      <alignment horizontal="center" vertical="center"/>
    </xf>
    <xf numFmtId="0" fontId="11" fillId="10" borderId="2" xfId="4" applyFill="1" applyBorder="1" applyAlignment="1">
      <alignment horizontal="left" vertical="center" indent="1"/>
    </xf>
    <xf numFmtId="0" fontId="38" fillId="10" borderId="3" xfId="10" applyFont="1" applyFill="1" applyBorder="1" applyAlignment="1">
      <alignment horizontal="left" vertical="center" wrapText="1"/>
    </xf>
    <xf numFmtId="3" fontId="0" fillId="2" borderId="5" xfId="0" applyNumberFormat="1" applyFill="1" applyBorder="1" applyAlignment="1" applyProtection="1">
      <alignment horizontal="right" indent="1"/>
      <protection locked="0"/>
    </xf>
    <xf numFmtId="3" fontId="0" fillId="8" borderId="1" xfId="1" applyNumberFormat="1" applyFont="1" applyFill="1" applyBorder="1" applyAlignment="1" applyProtection="1">
      <alignment horizontal="center" vertical="center"/>
    </xf>
    <xf numFmtId="3" fontId="0" fillId="19" borderId="7" xfId="0" applyNumberFormat="1" applyFill="1" applyBorder="1" applyAlignment="1">
      <alignment horizontal="right" vertical="center" indent="1"/>
    </xf>
    <xf numFmtId="3" fontId="0" fillId="19" borderId="8" xfId="0" applyNumberFormat="1" applyFill="1" applyBorder="1" applyAlignment="1">
      <alignment horizontal="right" vertical="center" indent="1"/>
    </xf>
    <xf numFmtId="3" fontId="0" fillId="19" borderId="9" xfId="0" applyNumberFormat="1" applyFill="1" applyBorder="1" applyAlignment="1">
      <alignment horizontal="right" vertical="center" indent="1"/>
    </xf>
    <xf numFmtId="4" fontId="0" fillId="8" borderId="5" xfId="0" applyNumberFormat="1" applyFill="1" applyBorder="1" applyAlignment="1" applyProtection="1">
      <alignment horizontal="right" indent="1"/>
      <protection locked="0"/>
    </xf>
    <xf numFmtId="4" fontId="0" fillId="4" borderId="0" xfId="0" applyNumberFormat="1" applyFill="1" applyAlignment="1">
      <alignment horizontal="right" vertical="center" indent="1"/>
    </xf>
    <xf numFmtId="4" fontId="0" fillId="2" borderId="4" xfId="0" applyNumberFormat="1" applyFill="1" applyBorder="1" applyAlignment="1">
      <alignment horizontal="right" vertical="center" indent="1"/>
    </xf>
    <xf numFmtId="4" fontId="0" fillId="2" borderId="5" xfId="0" applyNumberFormat="1" applyFill="1" applyBorder="1" applyAlignment="1">
      <alignment horizontal="right" vertical="center" indent="1"/>
    </xf>
    <xf numFmtId="0" fontId="25" fillId="2" borderId="0" xfId="0" applyFont="1" applyFill="1" applyAlignment="1">
      <alignment vertical="top" wrapText="1"/>
    </xf>
    <xf numFmtId="0" fontId="41" fillId="2" borderId="1" xfId="0" applyFont="1" applyFill="1" applyBorder="1" applyAlignment="1">
      <alignment vertical="center"/>
    </xf>
    <xf numFmtId="0" fontId="41" fillId="2" borderId="2" xfId="0" applyFont="1" applyFill="1" applyBorder="1" applyAlignment="1">
      <alignment horizontal="left" vertical="center" indent="1"/>
    </xf>
    <xf numFmtId="0" fontId="41" fillId="2" borderId="3" xfId="0" applyFont="1" applyFill="1" applyBorder="1" applyAlignment="1">
      <alignment horizontal="left" vertical="center" indent="1"/>
    </xf>
    <xf numFmtId="0" fontId="41" fillId="2" borderId="13" xfId="0" applyFont="1" applyFill="1" applyBorder="1" applyAlignment="1">
      <alignment horizontal="left" vertical="center" indent="1"/>
    </xf>
    <xf numFmtId="0" fontId="43" fillId="4" borderId="2" xfId="0" applyFont="1" applyFill="1" applyBorder="1" applyAlignment="1">
      <alignment horizontal="left" vertical="center" indent="1"/>
    </xf>
    <xf numFmtId="1" fontId="0" fillId="4" borderId="1" xfId="0" applyNumberFormat="1" applyFill="1" applyBorder="1" applyAlignment="1">
      <alignment horizontal="center" vertical="center"/>
    </xf>
    <xf numFmtId="3" fontId="0" fillId="8" borderId="1" xfId="0" applyNumberFormat="1" applyFill="1" applyBorder="1" applyAlignment="1" applyProtection="1">
      <alignment horizontal="center" vertical="center"/>
      <protection locked="0"/>
    </xf>
    <xf numFmtId="3" fontId="0" fillId="8" borderId="6" xfId="0" applyNumberFormat="1" applyFill="1" applyBorder="1" applyAlignment="1" applyProtection="1">
      <alignment horizontal="center" vertical="center"/>
      <protection locked="0"/>
    </xf>
    <xf numFmtId="3" fontId="0" fillId="8" borderId="25" xfId="0" applyNumberFormat="1" applyFill="1" applyBorder="1" applyAlignment="1" applyProtection="1">
      <alignment horizontal="center" vertical="center"/>
      <protection locked="0"/>
    </xf>
    <xf numFmtId="9" fontId="0" fillId="4" borderId="1" xfId="1" applyFont="1" applyFill="1" applyBorder="1" applyAlignment="1">
      <alignment horizontal="center" vertical="center"/>
    </xf>
    <xf numFmtId="0" fontId="40" fillId="2" borderId="0" xfId="10" applyFont="1" applyFill="1" applyAlignment="1">
      <alignment horizontal="left" vertical="center"/>
    </xf>
    <xf numFmtId="0" fontId="40" fillId="2" borderId="15" xfId="10" applyFont="1" applyFill="1" applyBorder="1" applyAlignment="1">
      <alignment horizontal="left" vertical="center"/>
    </xf>
    <xf numFmtId="0" fontId="34" fillId="10" borderId="0" xfId="4" applyFont="1" applyFill="1" applyAlignment="1" applyProtection="1">
      <alignment horizontal="left" vertical="center" wrapText="1"/>
    </xf>
    <xf numFmtId="0" fontId="11" fillId="10" borderId="0" xfId="4" applyFill="1" applyAlignment="1" applyProtection="1">
      <alignment horizontal="left" vertical="center"/>
    </xf>
    <xf numFmtId="167" fontId="0" fillId="2" borderId="2" xfId="0" applyNumberFormat="1" applyFill="1" applyBorder="1" applyAlignment="1">
      <alignment horizontal="center" vertical="center"/>
    </xf>
    <xf numFmtId="167" fontId="0" fillId="2" borderId="3" xfId="0" applyNumberFormat="1" applyFill="1" applyBorder="1" applyAlignment="1">
      <alignment horizontal="center" vertical="center"/>
    </xf>
    <xf numFmtId="0" fontId="29" fillId="10" borderId="0" xfId="0" applyFont="1" applyFill="1" applyAlignment="1">
      <alignment horizontal="center" vertical="center"/>
    </xf>
    <xf numFmtId="0" fontId="3" fillId="2" borderId="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3" xfId="0" applyFont="1" applyFill="1" applyBorder="1" applyAlignment="1">
      <alignment horizontal="center" vertical="center"/>
    </xf>
    <xf numFmtId="167" fontId="0" fillId="7" borderId="2" xfId="0" applyNumberFormat="1" applyFill="1" applyBorder="1" applyAlignment="1">
      <alignment horizontal="center" vertical="center"/>
    </xf>
    <xf numFmtId="167" fontId="0" fillId="7" borderId="3" xfId="0" applyNumberFormat="1" applyFill="1" applyBorder="1" applyAlignment="1">
      <alignment horizontal="center" vertical="center"/>
    </xf>
    <xf numFmtId="3" fontId="25" fillId="10" borderId="0" xfId="0" applyNumberFormat="1" applyFont="1" applyFill="1" applyAlignment="1">
      <alignment horizontal="center" vertical="center"/>
    </xf>
    <xf numFmtId="0" fontId="25" fillId="10" borderId="0" xfId="0" applyFont="1" applyFill="1" applyAlignment="1">
      <alignment horizontal="center" vertical="center"/>
    </xf>
    <xf numFmtId="0" fontId="0" fillId="2" borderId="1" xfId="0" applyFill="1" applyBorder="1" applyAlignment="1">
      <alignment horizontal="left" vertical="center" indent="1"/>
    </xf>
    <xf numFmtId="0" fontId="29" fillId="10" borderId="15" xfId="0" applyFont="1" applyFill="1" applyBorder="1" applyAlignment="1">
      <alignment horizontal="center" vertical="center"/>
    </xf>
    <xf numFmtId="0" fontId="25" fillId="10" borderId="14" xfId="0" applyFont="1"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2" borderId="2" xfId="0" applyFill="1" applyBorder="1" applyAlignment="1">
      <alignment horizontal="left" vertical="center" indent="1"/>
    </xf>
    <xf numFmtId="0" fontId="0" fillId="2" borderId="3" xfId="0" applyFill="1" applyBorder="1" applyAlignment="1">
      <alignment horizontal="left" vertical="center" indent="1"/>
    </xf>
    <xf numFmtId="0" fontId="0" fillId="2" borderId="2" xfId="0" applyFill="1" applyBorder="1" applyAlignment="1">
      <alignment horizontal="left" vertical="center" wrapText="1" indent="1"/>
    </xf>
    <xf numFmtId="0" fontId="0" fillId="2" borderId="3" xfId="0" applyFill="1" applyBorder="1" applyAlignment="1">
      <alignment horizontal="left" vertical="center" wrapText="1" indent="1"/>
    </xf>
    <xf numFmtId="0" fontId="3" fillId="2" borderId="1" xfId="0" applyFont="1" applyFill="1" applyBorder="1" applyAlignment="1">
      <alignment horizontal="center" vertical="center" wrapText="1"/>
    </xf>
    <xf numFmtId="0" fontId="0" fillId="20" borderId="23" xfId="0" applyFill="1" applyBorder="1" applyAlignment="1">
      <alignment horizontal="left" vertical="center" indent="1"/>
    </xf>
    <xf numFmtId="0" fontId="0" fillId="20" borderId="24" xfId="0" applyFill="1" applyBorder="1" applyAlignment="1">
      <alignment horizontal="left" vertical="center" indent="1"/>
    </xf>
    <xf numFmtId="0" fontId="0" fillId="20" borderId="1" xfId="0" applyFill="1" applyBorder="1" applyAlignment="1">
      <alignment horizontal="left" vertical="center" indent="1"/>
    </xf>
    <xf numFmtId="0" fontId="0" fillId="20" borderId="3" xfId="0" applyFill="1" applyBorder="1" applyAlignment="1">
      <alignment horizontal="left" vertical="center" indent="1"/>
    </xf>
    <xf numFmtId="0" fontId="0" fillId="2" borderId="10" xfId="0" applyFill="1" applyBorder="1" applyAlignment="1">
      <alignment horizontal="left" vertical="center" wrapText="1" indent="1"/>
    </xf>
    <xf numFmtId="0" fontId="0" fillId="2" borderId="7" xfId="0" applyFill="1" applyBorder="1" applyAlignment="1">
      <alignment horizontal="left" vertical="center" indent="1"/>
    </xf>
    <xf numFmtId="0" fontId="0" fillId="2" borderId="12" xfId="0" applyFill="1" applyBorder="1" applyAlignment="1">
      <alignment horizontal="left" vertical="center" indent="1"/>
    </xf>
    <xf numFmtId="0" fontId="0" fillId="2" borderId="9" xfId="0" applyFill="1" applyBorder="1" applyAlignment="1">
      <alignment horizontal="left" vertical="center" indent="1"/>
    </xf>
    <xf numFmtId="4" fontId="0" fillId="7" borderId="4" xfId="0" applyNumberFormat="1" applyFill="1" applyBorder="1" applyAlignment="1">
      <alignment horizontal="center" vertical="center"/>
    </xf>
    <xf numFmtId="4" fontId="0" fillId="7" borderId="6" xfId="0" applyNumberFormat="1" applyFill="1" applyBorder="1" applyAlignment="1">
      <alignment horizontal="center" vertical="center"/>
    </xf>
    <xf numFmtId="0" fontId="0" fillId="2" borderId="6" xfId="0" applyFill="1" applyBorder="1" applyAlignment="1">
      <alignment horizontal="left" vertical="center" indent="1"/>
    </xf>
    <xf numFmtId="164" fontId="0" fillId="7" borderId="1" xfId="0" applyNumberFormat="1" applyFill="1" applyBorder="1" applyAlignment="1">
      <alignment horizontal="center" vertical="center"/>
    </xf>
    <xf numFmtId="0" fontId="0" fillId="2" borderId="7" xfId="0" applyFill="1" applyBorder="1" applyAlignment="1">
      <alignment horizontal="left" vertical="center" wrapText="1" indent="1"/>
    </xf>
    <xf numFmtId="0" fontId="0" fillId="2" borderId="23" xfId="0" applyFill="1" applyBorder="1" applyAlignment="1">
      <alignment horizontal="left" vertical="center" indent="1"/>
    </xf>
    <xf numFmtId="0" fontId="0" fillId="2" borderId="24" xfId="0" applyFill="1" applyBorder="1" applyAlignment="1">
      <alignment horizontal="left" vertical="center" indent="1"/>
    </xf>
    <xf numFmtId="0" fontId="0" fillId="20" borderId="6" xfId="0" applyFill="1" applyBorder="1" applyAlignment="1">
      <alignment horizontal="left" vertical="center" indent="1"/>
    </xf>
    <xf numFmtId="0" fontId="0" fillId="2" borderId="12" xfId="0" applyFill="1" applyBorder="1" applyAlignment="1">
      <alignment horizontal="left" vertical="center" wrapText="1" indent="1"/>
    </xf>
    <xf numFmtId="0" fontId="0" fillId="2" borderId="9" xfId="0" applyFill="1" applyBorder="1" applyAlignment="1">
      <alignment horizontal="left" vertical="center" wrapText="1" indent="1"/>
    </xf>
    <xf numFmtId="9" fontId="0" fillId="7" borderId="4" xfId="0" applyNumberFormat="1" applyFill="1" applyBorder="1" applyAlignment="1">
      <alignment horizontal="center" vertical="center"/>
    </xf>
    <xf numFmtId="9" fontId="0" fillId="7" borderId="6" xfId="0" applyNumberFormat="1" applyFill="1" applyBorder="1" applyAlignment="1">
      <alignment horizontal="center" vertical="center"/>
    </xf>
    <xf numFmtId="166" fontId="9" fillId="7" borderId="0" xfId="0" applyNumberFormat="1" applyFont="1" applyFill="1" applyAlignment="1">
      <alignment horizontal="center" vertical="center" wrapText="1"/>
    </xf>
    <xf numFmtId="0" fontId="0" fillId="20" borderId="0" xfId="0" applyFill="1" applyAlignment="1">
      <alignment horizontal="center" wrapText="1"/>
    </xf>
    <xf numFmtId="0" fontId="3" fillId="2" borderId="4"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0" fillId="4" borderId="2" xfId="0" applyFill="1" applyBorder="1" applyAlignment="1">
      <alignment horizontal="right" vertical="center"/>
    </xf>
    <xf numFmtId="0" fontId="0" fillId="4" borderId="3" xfId="0" applyFill="1" applyBorder="1" applyAlignment="1">
      <alignment horizontal="right" vertical="center"/>
    </xf>
    <xf numFmtId="0" fontId="34" fillId="2" borderId="0" xfId="4" applyFont="1" applyFill="1" applyAlignment="1" applyProtection="1">
      <alignment horizontal="center" vertical="center" wrapText="1"/>
    </xf>
    <xf numFmtId="0" fontId="3" fillId="14" borderId="4" xfId="0" applyFont="1" applyFill="1" applyBorder="1" applyAlignment="1">
      <alignment horizontal="center" vertical="center" wrapText="1"/>
    </xf>
    <xf numFmtId="0" fontId="3" fillId="14" borderId="6" xfId="0" applyFont="1" applyFill="1" applyBorder="1" applyAlignment="1">
      <alignment horizontal="center" vertical="center" wrapText="1"/>
    </xf>
    <xf numFmtId="0" fontId="18" fillId="14" borderId="4" xfId="0" applyFont="1" applyFill="1" applyBorder="1" applyAlignment="1">
      <alignment horizontal="center" vertical="center" wrapText="1"/>
    </xf>
    <xf numFmtId="0" fontId="18" fillId="14" borderId="6" xfId="0" applyFont="1" applyFill="1" applyBorder="1" applyAlignment="1">
      <alignment horizontal="center" vertical="center" wrapText="1"/>
    </xf>
    <xf numFmtId="0" fontId="3" fillId="15" borderId="4" xfId="0" applyFont="1" applyFill="1" applyBorder="1" applyAlignment="1">
      <alignment horizontal="center" vertical="center" wrapText="1"/>
    </xf>
    <xf numFmtId="0" fontId="3" fillId="15" borderId="6" xfId="0" applyFont="1" applyFill="1" applyBorder="1" applyAlignment="1">
      <alignment horizontal="center" vertical="center" wrapText="1"/>
    </xf>
    <xf numFmtId="0" fontId="0" fillId="2" borderId="2" xfId="0" applyFill="1" applyBorder="1" applyAlignment="1">
      <alignment horizontal="right"/>
    </xf>
    <xf numFmtId="0" fontId="0" fillId="2" borderId="3" xfId="0" applyFill="1" applyBorder="1" applyAlignment="1">
      <alignment horizontal="right"/>
    </xf>
    <xf numFmtId="0" fontId="3" fillId="2" borderId="5"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5" borderId="13"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3" fillId="16" borderId="4" xfId="0" applyFont="1" applyFill="1" applyBorder="1" applyAlignment="1">
      <alignment horizontal="center" vertical="center" wrapText="1"/>
    </xf>
    <xf numFmtId="0" fontId="3" fillId="16" borderId="6" xfId="0" applyFont="1" applyFill="1" applyBorder="1" applyAlignment="1">
      <alignment horizontal="center" vertical="center" wrapText="1"/>
    </xf>
    <xf numFmtId="0" fontId="13" fillId="2" borderId="0" xfId="0" applyFont="1" applyFill="1" applyAlignment="1">
      <alignment horizontal="center"/>
    </xf>
    <xf numFmtId="0" fontId="21" fillId="2" borderId="10" xfId="0" applyFont="1" applyFill="1" applyBorder="1" applyAlignment="1">
      <alignment horizontal="center" vertical="center" wrapText="1"/>
    </xf>
    <xf numFmtId="0" fontId="21" fillId="2" borderId="14" xfId="0" applyFont="1" applyFill="1" applyBorder="1" applyAlignment="1">
      <alignment horizontal="center" vertical="center" wrapText="1"/>
    </xf>
    <xf numFmtId="0" fontId="21" fillId="2" borderId="7" xfId="0" applyFont="1" applyFill="1" applyBorder="1" applyAlignment="1">
      <alignment horizontal="center" vertical="center" wrapText="1"/>
    </xf>
    <xf numFmtId="0" fontId="21" fillId="2" borderId="11" xfId="0" applyFont="1" applyFill="1" applyBorder="1" applyAlignment="1">
      <alignment horizontal="center" vertical="center" wrapText="1"/>
    </xf>
    <xf numFmtId="0" fontId="21" fillId="2" borderId="0" xfId="0" applyFont="1" applyFill="1" applyAlignment="1">
      <alignment horizontal="center" vertical="center" wrapText="1"/>
    </xf>
    <xf numFmtId="0" fontId="21" fillId="2" borderId="8" xfId="0" applyFont="1" applyFill="1" applyBorder="1" applyAlignment="1">
      <alignment horizontal="center" vertical="center" wrapText="1"/>
    </xf>
    <xf numFmtId="0" fontId="34" fillId="2" borderId="0" xfId="4" applyFont="1" applyFill="1" applyAlignment="1" applyProtection="1">
      <alignment horizontal="right" vertical="center"/>
    </xf>
    <xf numFmtId="0" fontId="3" fillId="2" borderId="2" xfId="0" applyFont="1" applyFill="1" applyBorder="1" applyAlignment="1">
      <alignment horizontal="center"/>
    </xf>
    <xf numFmtId="0" fontId="3" fillId="2" borderId="13" xfId="0" applyFont="1" applyFill="1" applyBorder="1" applyAlignment="1">
      <alignment horizontal="center"/>
    </xf>
    <xf numFmtId="0" fontId="3" fillId="2" borderId="1" xfId="0" applyFont="1" applyFill="1" applyBorder="1" applyAlignment="1">
      <alignment horizontal="center" vertical="center"/>
    </xf>
    <xf numFmtId="0" fontId="3" fillId="5" borderId="4"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21" fillId="2" borderId="12" xfId="0" applyFont="1" applyFill="1" applyBorder="1" applyAlignment="1">
      <alignment horizontal="center" vertical="center" wrapText="1"/>
    </xf>
    <xf numFmtId="0" fontId="21" fillId="2" borderId="15" xfId="0" applyFont="1" applyFill="1" applyBorder="1" applyAlignment="1">
      <alignment horizontal="center" vertical="center" wrapText="1"/>
    </xf>
    <xf numFmtId="0" fontId="21" fillId="2" borderId="9" xfId="0" applyFont="1" applyFill="1" applyBorder="1" applyAlignment="1">
      <alignment horizontal="center" vertical="center" wrapText="1"/>
    </xf>
    <xf numFmtId="0" fontId="0" fillId="4" borderId="2" xfId="0" applyFill="1" applyBorder="1" applyAlignment="1">
      <alignment horizontal="right"/>
    </xf>
    <xf numFmtId="0" fontId="0" fillId="4" borderId="3" xfId="0" applyFill="1" applyBorder="1" applyAlignment="1">
      <alignment horizontal="right"/>
    </xf>
    <xf numFmtId="0" fontId="3" fillId="2" borderId="4" xfId="0" applyFont="1" applyFill="1" applyBorder="1" applyAlignment="1">
      <alignment horizontal="center" vertical="center"/>
    </xf>
    <xf numFmtId="0" fontId="3" fillId="2" borderId="6" xfId="0" applyFont="1" applyFill="1" applyBorder="1" applyAlignment="1">
      <alignment horizontal="center" vertical="center"/>
    </xf>
    <xf numFmtId="0" fontId="3" fillId="9" borderId="4" xfId="0" applyFont="1" applyFill="1" applyBorder="1" applyAlignment="1">
      <alignment horizontal="center" vertical="center" wrapText="1"/>
    </xf>
    <xf numFmtId="0" fontId="3" fillId="9" borderId="6" xfId="0" applyFont="1" applyFill="1" applyBorder="1" applyAlignment="1">
      <alignment horizontal="center" vertical="center" wrapText="1"/>
    </xf>
    <xf numFmtId="0" fontId="3" fillId="21" borderId="4" xfId="0" applyFont="1" applyFill="1" applyBorder="1" applyAlignment="1">
      <alignment horizontal="center" vertical="center" wrapText="1"/>
    </xf>
    <xf numFmtId="0" fontId="3" fillId="21" borderId="5" xfId="0" applyFont="1" applyFill="1" applyBorder="1" applyAlignment="1">
      <alignment horizontal="center" vertical="center" wrapText="1"/>
    </xf>
    <xf numFmtId="0" fontId="3" fillId="21" borderId="6" xfId="0" applyFont="1" applyFill="1" applyBorder="1" applyAlignment="1">
      <alignment horizontal="center" vertical="center" wrapText="1"/>
    </xf>
    <xf numFmtId="0" fontId="3" fillId="9" borderId="10" xfId="0" applyFont="1" applyFill="1" applyBorder="1" applyAlignment="1">
      <alignment horizontal="center" vertical="center" wrapText="1"/>
    </xf>
    <xf numFmtId="0" fontId="3" fillId="9" borderId="7" xfId="0" applyFont="1" applyFill="1" applyBorder="1" applyAlignment="1">
      <alignment horizontal="center" vertical="center" wrapText="1"/>
    </xf>
    <xf numFmtId="0" fontId="3" fillId="9" borderId="12" xfId="0" applyFont="1" applyFill="1" applyBorder="1" applyAlignment="1">
      <alignment horizontal="center" vertical="center" wrapText="1"/>
    </xf>
    <xf numFmtId="0" fontId="3" fillId="9" borderId="9" xfId="0" applyFont="1" applyFill="1" applyBorder="1" applyAlignment="1">
      <alignment horizontal="center" vertical="center" wrapText="1"/>
    </xf>
    <xf numFmtId="3" fontId="0" fillId="2" borderId="4" xfId="0" applyNumberFormat="1" applyFill="1" applyBorder="1" applyAlignment="1">
      <alignment horizontal="center" vertical="center"/>
    </xf>
    <xf numFmtId="3" fontId="0" fillId="2" borderId="6" xfId="0" applyNumberFormat="1" applyFill="1" applyBorder="1" applyAlignment="1">
      <alignment horizontal="center" vertical="center"/>
    </xf>
    <xf numFmtId="1" fontId="0" fillId="4" borderId="1" xfId="0" applyNumberFormat="1" applyFill="1" applyBorder="1" applyAlignment="1">
      <alignment horizontal="center" vertical="center"/>
    </xf>
    <xf numFmtId="0" fontId="20" fillId="2" borderId="10" xfId="0" applyFont="1" applyFill="1" applyBorder="1" applyAlignment="1">
      <alignment horizontal="center" vertical="center"/>
    </xf>
    <xf numFmtId="0" fontId="20" fillId="2" borderId="14" xfId="0" applyFont="1" applyFill="1" applyBorder="1" applyAlignment="1">
      <alignment horizontal="center" vertical="center"/>
    </xf>
    <xf numFmtId="0" fontId="20" fillId="2" borderId="7" xfId="0" applyFont="1" applyFill="1" applyBorder="1" applyAlignment="1">
      <alignment horizontal="center" vertical="center"/>
    </xf>
    <xf numFmtId="0" fontId="20" fillId="2" borderId="11" xfId="0" applyFont="1" applyFill="1" applyBorder="1" applyAlignment="1">
      <alignment horizontal="center" vertical="center"/>
    </xf>
    <xf numFmtId="0" fontId="20" fillId="2" borderId="0" xfId="0" applyFont="1" applyFill="1" applyAlignment="1">
      <alignment horizontal="center" vertical="center"/>
    </xf>
    <xf numFmtId="0" fontId="20" fillId="2" borderId="8" xfId="0" applyFont="1" applyFill="1" applyBorder="1" applyAlignment="1">
      <alignment horizontal="center" vertical="center"/>
    </xf>
    <xf numFmtId="0" fontId="20" fillId="2" borderId="12"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9" xfId="0" applyFont="1" applyFill="1" applyBorder="1" applyAlignment="1">
      <alignment horizontal="center" vertical="center"/>
    </xf>
    <xf numFmtId="0" fontId="19" fillId="2" borderId="10"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9" fillId="2" borderId="11" xfId="0" applyFont="1" applyFill="1" applyBorder="1" applyAlignment="1">
      <alignment horizontal="center" vertical="center" wrapText="1"/>
    </xf>
    <xf numFmtId="0" fontId="19" fillId="2" borderId="8" xfId="0" applyFont="1" applyFill="1" applyBorder="1" applyAlignment="1">
      <alignment horizontal="center" vertical="center" wrapText="1"/>
    </xf>
    <xf numFmtId="0" fontId="19" fillId="2" borderId="12" xfId="0" applyFont="1" applyFill="1" applyBorder="1" applyAlignment="1">
      <alignment horizontal="center" vertical="center" wrapText="1"/>
    </xf>
    <xf numFmtId="0" fontId="19" fillId="2" borderId="9" xfId="0" applyFont="1" applyFill="1" applyBorder="1" applyAlignment="1">
      <alignment horizontal="center" vertical="center" wrapText="1"/>
    </xf>
    <xf numFmtId="0" fontId="3" fillId="9" borderId="5" xfId="0" applyFont="1" applyFill="1" applyBorder="1" applyAlignment="1">
      <alignment horizontal="center" vertical="center" wrapText="1"/>
    </xf>
    <xf numFmtId="0" fontId="0" fillId="2" borderId="5" xfId="0" applyFill="1" applyBorder="1" applyAlignment="1">
      <alignment horizontal="center" vertical="center"/>
    </xf>
    <xf numFmtId="0" fontId="3" fillId="3" borderId="10"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2" xfId="0" applyFont="1" applyFill="1" applyBorder="1" applyAlignment="1">
      <alignment horizontal="center" vertical="center"/>
    </xf>
    <xf numFmtId="0" fontId="3" fillId="3" borderId="13" xfId="0" applyFont="1" applyFill="1" applyBorder="1" applyAlignment="1">
      <alignment horizontal="center" vertical="center"/>
    </xf>
    <xf numFmtId="0" fontId="3" fillId="3" borderId="3" xfId="0" applyFont="1" applyFill="1" applyBorder="1" applyAlignment="1">
      <alignment horizontal="center" vertical="center"/>
    </xf>
    <xf numFmtId="0" fontId="21" fillId="2" borderId="10" xfId="0" applyFont="1" applyFill="1" applyBorder="1" applyAlignment="1">
      <alignment horizontal="center" vertical="center"/>
    </xf>
    <xf numFmtId="0" fontId="21" fillId="2" borderId="14" xfId="0" applyFont="1" applyFill="1" applyBorder="1" applyAlignment="1">
      <alignment horizontal="center" vertical="center"/>
    </xf>
    <xf numFmtId="0" fontId="21" fillId="2" borderId="7" xfId="0" applyFont="1" applyFill="1" applyBorder="1" applyAlignment="1">
      <alignment horizontal="center" vertical="center"/>
    </xf>
    <xf numFmtId="0" fontId="21" fillId="2" borderId="12" xfId="0" applyFont="1" applyFill="1" applyBorder="1" applyAlignment="1">
      <alignment horizontal="center" vertical="center"/>
    </xf>
    <xf numFmtId="0" fontId="21" fillId="2" borderId="15" xfId="0" applyFont="1" applyFill="1" applyBorder="1" applyAlignment="1">
      <alignment horizontal="center" vertical="center"/>
    </xf>
    <xf numFmtId="0" fontId="21" fillId="2" borderId="9" xfId="0"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13" xfId="0" applyFont="1" applyFill="1" applyBorder="1" applyAlignment="1">
      <alignment horizontal="center" vertical="center" wrapText="1"/>
    </xf>
    <xf numFmtId="9" fontId="0" fillId="4" borderId="2" xfId="1" applyFont="1" applyFill="1" applyBorder="1" applyAlignment="1" applyProtection="1">
      <alignment horizontal="center" vertical="center"/>
    </xf>
    <xf numFmtId="9" fontId="0" fillId="4" borderId="13" xfId="1" applyFont="1" applyFill="1" applyBorder="1" applyAlignment="1" applyProtection="1">
      <alignment horizontal="center" vertical="center"/>
    </xf>
    <xf numFmtId="0" fontId="3" fillId="2" borderId="3" xfId="0" applyFont="1" applyFill="1" applyBorder="1" applyAlignment="1">
      <alignment horizontal="center" vertical="center" wrapText="1"/>
    </xf>
    <xf numFmtId="0" fontId="3" fillId="19" borderId="10" xfId="0" applyFont="1" applyFill="1" applyBorder="1" applyAlignment="1">
      <alignment horizontal="center" vertical="center" wrapText="1"/>
    </xf>
    <xf numFmtId="0" fontId="3" fillId="19" borderId="14" xfId="0" applyFont="1" applyFill="1" applyBorder="1" applyAlignment="1">
      <alignment horizontal="center" vertical="center" wrapText="1"/>
    </xf>
    <xf numFmtId="0" fontId="3" fillId="19" borderId="7" xfId="0" applyFont="1" applyFill="1" applyBorder="1" applyAlignment="1">
      <alignment horizontal="center" vertical="center" wrapText="1"/>
    </xf>
    <xf numFmtId="0" fontId="3" fillId="19" borderId="12" xfId="0" applyFont="1" applyFill="1" applyBorder="1" applyAlignment="1">
      <alignment horizontal="center" vertical="center" wrapText="1"/>
    </xf>
    <xf numFmtId="0" fontId="3" fillId="19" borderId="15" xfId="0" applyFont="1" applyFill="1" applyBorder="1" applyAlignment="1">
      <alignment horizontal="center" vertical="center" wrapText="1"/>
    </xf>
    <xf numFmtId="0" fontId="3" fillId="19" borderId="9" xfId="0" applyFont="1" applyFill="1" applyBorder="1" applyAlignment="1">
      <alignment horizontal="center" vertical="center" wrapText="1"/>
    </xf>
    <xf numFmtId="3" fontId="0" fillId="4" borderId="4" xfId="0" applyNumberFormat="1" applyFill="1" applyBorder="1" applyAlignment="1">
      <alignment horizontal="center" vertical="center" wrapText="1"/>
    </xf>
    <xf numFmtId="3" fontId="0" fillId="4" borderId="6" xfId="0" applyNumberFormat="1" applyFill="1" applyBorder="1" applyAlignment="1">
      <alignment horizontal="center" vertical="center" wrapText="1"/>
    </xf>
    <xf numFmtId="165" fontId="3" fillId="4" borderId="4" xfId="1" applyNumberFormat="1" applyFont="1" applyFill="1" applyBorder="1" applyAlignment="1" applyProtection="1">
      <alignment horizontal="center" vertical="center" wrapText="1"/>
    </xf>
    <xf numFmtId="165" fontId="3" fillId="4" borderId="6" xfId="1" applyNumberFormat="1" applyFont="1" applyFill="1" applyBorder="1" applyAlignment="1" applyProtection="1">
      <alignment horizontal="center" vertical="center" wrapText="1"/>
    </xf>
    <xf numFmtId="0" fontId="3" fillId="19" borderId="2" xfId="0" applyFont="1" applyFill="1" applyBorder="1" applyAlignment="1">
      <alignment horizontal="center" vertical="center" wrapText="1"/>
    </xf>
    <xf numFmtId="0" fontId="3" fillId="19" borderId="13" xfId="0" applyFont="1" applyFill="1" applyBorder="1" applyAlignment="1">
      <alignment horizontal="center" vertical="center" wrapText="1"/>
    </xf>
    <xf numFmtId="0" fontId="3" fillId="19" borderId="3" xfId="0" applyFont="1" applyFill="1" applyBorder="1" applyAlignment="1">
      <alignment horizontal="center" vertical="center" wrapText="1"/>
    </xf>
    <xf numFmtId="165" fontId="3" fillId="4" borderId="2" xfId="1" applyNumberFormat="1" applyFont="1" applyFill="1" applyBorder="1" applyAlignment="1" applyProtection="1">
      <alignment horizontal="center" vertical="center" wrapText="1"/>
    </xf>
    <xf numFmtId="165" fontId="3" fillId="4" borderId="3" xfId="1" applyNumberFormat="1" applyFont="1" applyFill="1" applyBorder="1" applyAlignment="1" applyProtection="1">
      <alignment horizontal="center" vertical="center" wrapText="1"/>
    </xf>
    <xf numFmtId="3" fontId="3" fillId="4" borderId="2" xfId="0" applyNumberFormat="1" applyFont="1" applyFill="1" applyBorder="1" applyAlignment="1">
      <alignment horizontal="center" vertical="center" wrapText="1"/>
    </xf>
    <xf numFmtId="3" fontId="3" fillId="4" borderId="13" xfId="0" applyNumberFormat="1" applyFont="1" applyFill="1" applyBorder="1" applyAlignment="1">
      <alignment horizontal="center" vertical="center" wrapText="1"/>
    </xf>
    <xf numFmtId="3" fontId="3" fillId="4" borderId="3" xfId="0" applyNumberFormat="1" applyFont="1" applyFill="1" applyBorder="1" applyAlignment="1">
      <alignment horizontal="center" vertical="center" wrapText="1"/>
    </xf>
    <xf numFmtId="0" fontId="3" fillId="19" borderId="2" xfId="0" applyFont="1" applyFill="1" applyBorder="1" applyAlignment="1">
      <alignment horizontal="center" vertical="center"/>
    </xf>
    <xf numFmtId="0" fontId="3" fillId="19" borderId="13" xfId="0" applyFont="1" applyFill="1" applyBorder="1" applyAlignment="1">
      <alignment horizontal="center" vertical="center"/>
    </xf>
    <xf numFmtId="0" fontId="3" fillId="19" borderId="3" xfId="0" applyFont="1" applyFill="1" applyBorder="1" applyAlignment="1">
      <alignment horizontal="center" vertical="center"/>
    </xf>
    <xf numFmtId="0" fontId="0" fillId="2" borderId="15" xfId="0" applyFill="1" applyBorder="1" applyAlignment="1">
      <alignment horizontal="center"/>
    </xf>
    <xf numFmtId="3" fontId="0" fillId="2" borderId="11" xfId="0" applyNumberFormat="1" applyFill="1" applyBorder="1" applyAlignment="1">
      <alignment horizontal="right" vertical="center" indent="1"/>
    </xf>
    <xf numFmtId="3" fontId="0" fillId="2" borderId="0" xfId="0" applyNumberFormat="1" applyFill="1" applyAlignment="1">
      <alignment horizontal="right" vertical="center" indent="1"/>
    </xf>
    <xf numFmtId="3" fontId="0" fillId="2" borderId="8" xfId="0" applyNumberFormat="1" applyFill="1" applyBorder="1" applyAlignment="1">
      <alignment horizontal="right" vertical="center" indent="1"/>
    </xf>
    <xf numFmtId="0" fontId="3" fillId="5" borderId="10" xfId="0" applyFont="1" applyFill="1" applyBorder="1" applyAlignment="1">
      <alignment horizontal="center" vertical="center" wrapText="1"/>
    </xf>
    <xf numFmtId="0" fontId="3" fillId="5" borderId="14"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14"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15" xfId="0" applyFont="1" applyFill="1" applyBorder="1" applyAlignment="1">
      <alignment horizontal="center" vertical="center" wrapText="1"/>
    </xf>
    <xf numFmtId="0" fontId="3" fillId="6" borderId="9"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2" fillId="2" borderId="0" xfId="0" applyFont="1" applyFill="1" applyAlignment="1">
      <alignment horizontal="center" vertical="center" wrapText="1"/>
    </xf>
    <xf numFmtId="3" fontId="3" fillId="18" borderId="4" xfId="0" applyNumberFormat="1" applyFont="1" applyFill="1" applyBorder="1" applyAlignment="1">
      <alignment horizontal="center" vertical="center" wrapText="1"/>
    </xf>
    <xf numFmtId="3" fontId="3" fillId="18" borderId="5" xfId="0" applyNumberFormat="1" applyFont="1" applyFill="1" applyBorder="1" applyAlignment="1">
      <alignment horizontal="center" vertical="center" wrapText="1"/>
    </xf>
    <xf numFmtId="0" fontId="3" fillId="19" borderId="10" xfId="0" applyFont="1" applyFill="1" applyBorder="1" applyAlignment="1">
      <alignment horizontal="center" vertical="center"/>
    </xf>
    <xf numFmtId="0" fontId="3" fillId="19" borderId="14" xfId="0" applyFont="1" applyFill="1" applyBorder="1" applyAlignment="1">
      <alignment horizontal="center" vertical="center"/>
    </xf>
    <xf numFmtId="0" fontId="3" fillId="19" borderId="12" xfId="0" applyFont="1" applyFill="1" applyBorder="1" applyAlignment="1">
      <alignment horizontal="center" vertical="center"/>
    </xf>
    <xf numFmtId="0" fontId="3" fillId="19" borderId="15" xfId="0" applyFont="1" applyFill="1" applyBorder="1" applyAlignment="1">
      <alignment horizontal="center" vertical="center"/>
    </xf>
    <xf numFmtId="0" fontId="3" fillId="6" borderId="4"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17" borderId="4" xfId="0" applyFont="1" applyFill="1" applyBorder="1" applyAlignment="1">
      <alignment horizontal="center" vertical="center" wrapText="1"/>
    </xf>
    <xf numFmtId="0" fontId="3" fillId="17" borderId="6" xfId="0" applyFont="1" applyFill="1" applyBorder="1" applyAlignment="1">
      <alignment horizontal="center" vertical="center" wrapText="1"/>
    </xf>
    <xf numFmtId="0" fontId="3" fillId="13" borderId="10" xfId="0" applyFont="1" applyFill="1" applyBorder="1" applyAlignment="1">
      <alignment horizontal="center" vertical="center" wrapText="1"/>
    </xf>
    <xf numFmtId="0" fontId="3" fillId="13" borderId="14" xfId="0" applyFont="1" applyFill="1" applyBorder="1" applyAlignment="1">
      <alignment horizontal="center" vertical="center" wrapText="1"/>
    </xf>
    <xf numFmtId="0" fontId="3" fillId="13" borderId="7" xfId="0" applyFont="1" applyFill="1" applyBorder="1" applyAlignment="1">
      <alignment horizontal="center" vertical="center" wrapText="1"/>
    </xf>
    <xf numFmtId="3" fontId="0" fillId="2" borderId="2" xfId="0" applyNumberFormat="1" applyFill="1" applyBorder="1" applyAlignment="1">
      <alignment horizontal="right" vertical="center" indent="1"/>
    </xf>
    <xf numFmtId="3" fontId="0" fillId="2" borderId="13" xfId="0" applyNumberFormat="1" applyFill="1" applyBorder="1" applyAlignment="1">
      <alignment horizontal="right" vertical="center" indent="1"/>
    </xf>
    <xf numFmtId="3" fontId="0" fillId="2" borderId="3" xfId="0" applyNumberFormat="1" applyFill="1" applyBorder="1" applyAlignment="1">
      <alignment horizontal="right" vertical="center" indent="1"/>
    </xf>
    <xf numFmtId="0" fontId="43" fillId="7" borderId="1" xfId="0" applyFont="1" applyFill="1" applyBorder="1" applyAlignment="1">
      <alignment horizontal="left" vertical="center"/>
    </xf>
    <xf numFmtId="0" fontId="43" fillId="8" borderId="2" xfId="0" applyFont="1" applyFill="1" applyBorder="1" applyAlignment="1" applyProtection="1">
      <alignment horizontal="center" vertical="center"/>
      <protection locked="0"/>
    </xf>
    <xf numFmtId="0" fontId="43" fillId="8" borderId="13" xfId="0" applyFont="1" applyFill="1" applyBorder="1" applyAlignment="1" applyProtection="1">
      <alignment horizontal="center" vertical="center"/>
      <protection locked="0"/>
    </xf>
    <xf numFmtId="0" fontId="43" fillId="19" borderId="1" xfId="0" applyFont="1" applyFill="1" applyBorder="1" applyAlignment="1">
      <alignment horizontal="left" vertical="center"/>
    </xf>
    <xf numFmtId="0" fontId="52" fillId="2" borderId="2" xfId="0" applyFont="1" applyFill="1" applyBorder="1" applyAlignment="1">
      <alignment horizontal="left" vertical="center"/>
    </xf>
    <xf numFmtId="0" fontId="52" fillId="2" borderId="13" xfId="0" applyFont="1" applyFill="1" applyBorder="1" applyAlignment="1">
      <alignment horizontal="left" vertical="center"/>
    </xf>
    <xf numFmtId="0" fontId="52" fillId="2" borderId="3" xfId="0" applyFont="1" applyFill="1" applyBorder="1" applyAlignment="1">
      <alignment horizontal="left" vertical="center"/>
    </xf>
    <xf numFmtId="0" fontId="52" fillId="2" borderId="1" xfId="0" applyFont="1" applyFill="1" applyBorder="1" applyAlignment="1">
      <alignment horizontal="left" vertical="center"/>
    </xf>
    <xf numFmtId="0" fontId="53" fillId="2" borderId="1" xfId="0" applyFont="1" applyFill="1" applyBorder="1" applyAlignment="1">
      <alignment horizontal="left" vertical="center"/>
    </xf>
    <xf numFmtId="0" fontId="13" fillId="2" borderId="0" xfId="0" quotePrefix="1" applyFont="1" applyFill="1" applyAlignment="1">
      <alignment horizontal="center" vertical="center" wrapText="1"/>
    </xf>
    <xf numFmtId="0" fontId="13" fillId="2" borderId="0" xfId="0" applyFont="1" applyFill="1" applyAlignment="1">
      <alignment horizontal="center" vertical="center" wrapText="1"/>
    </xf>
    <xf numFmtId="0" fontId="0" fillId="2" borderId="0" xfId="0" applyFill="1" applyAlignment="1">
      <alignment horizontal="center" vertical="center"/>
    </xf>
    <xf numFmtId="0" fontId="54" fillId="2" borderId="1" xfId="0" applyFont="1" applyFill="1" applyBorder="1" applyAlignment="1">
      <alignment horizontal="left" vertical="center"/>
    </xf>
    <xf numFmtId="0" fontId="56" fillId="2" borderId="1" xfId="0" applyFont="1" applyFill="1" applyBorder="1" applyAlignment="1">
      <alignment horizontal="left" vertical="center"/>
    </xf>
    <xf numFmtId="0" fontId="43" fillId="13" borderId="2" xfId="0" applyFont="1" applyFill="1" applyBorder="1" applyAlignment="1">
      <alignment horizontal="left" vertical="center"/>
    </xf>
    <xf numFmtId="0" fontId="43" fillId="13" borderId="13" xfId="0" applyFont="1" applyFill="1" applyBorder="1" applyAlignment="1">
      <alignment horizontal="left" vertical="center"/>
    </xf>
    <xf numFmtId="0" fontId="43" fillId="17" borderId="1" xfId="0" applyFont="1" applyFill="1" applyBorder="1" applyAlignment="1">
      <alignment horizontal="left" vertical="center"/>
    </xf>
    <xf numFmtId="0" fontId="43" fillId="3" borderId="1" xfId="0" applyFont="1" applyFill="1" applyBorder="1" applyAlignment="1">
      <alignment horizontal="left" vertical="center"/>
    </xf>
    <xf numFmtId="0" fontId="49" fillId="2" borderId="0" xfId="0" applyFont="1" applyFill="1" applyAlignment="1">
      <alignment horizontal="center" vertical="center" wrapText="1"/>
    </xf>
    <xf numFmtId="0" fontId="49" fillId="2" borderId="15" xfId="0" applyFont="1" applyFill="1" applyBorder="1" applyAlignment="1">
      <alignment horizontal="center" vertical="center" wrapText="1"/>
    </xf>
    <xf numFmtId="0" fontId="46" fillId="2" borderId="26" xfId="0" applyFont="1" applyFill="1" applyBorder="1" applyAlignment="1">
      <alignment horizontal="center" vertical="center"/>
    </xf>
    <xf numFmtId="0" fontId="46" fillId="2" borderId="27" xfId="0" applyFont="1" applyFill="1" applyBorder="1" applyAlignment="1">
      <alignment horizontal="center" vertical="center"/>
    </xf>
    <xf numFmtId="0" fontId="46" fillId="2" borderId="28" xfId="0" applyFont="1" applyFill="1" applyBorder="1" applyAlignment="1">
      <alignment horizontal="center" vertical="center"/>
    </xf>
    <xf numFmtId="0" fontId="43" fillId="5" borderId="1" xfId="0" applyFont="1" applyFill="1" applyBorder="1" applyAlignment="1">
      <alignment horizontal="left" vertical="center"/>
    </xf>
    <xf numFmtId="0" fontId="43" fillId="6" borderId="4" xfId="0" applyFont="1" applyFill="1" applyBorder="1" applyAlignment="1">
      <alignment horizontal="left" vertical="center"/>
    </xf>
    <xf numFmtId="0" fontId="25" fillId="2" borderId="0" xfId="0" applyFont="1" applyFill="1" applyAlignment="1">
      <alignment horizontal="right" vertical="top" wrapText="1"/>
    </xf>
    <xf numFmtId="0" fontId="0" fillId="2" borderId="0" xfId="0" applyFill="1" applyAlignment="1">
      <alignment horizontal="right" vertical="center"/>
    </xf>
    <xf numFmtId="0" fontId="3" fillId="2" borderId="0" xfId="0" applyFont="1" applyFill="1" applyAlignment="1">
      <alignment horizontal="center" vertical="center"/>
    </xf>
    <xf numFmtId="0" fontId="20" fillId="8" borderId="2" xfId="0" applyFont="1" applyFill="1" applyBorder="1" applyAlignment="1" applyProtection="1">
      <alignment horizontal="center" vertical="center"/>
      <protection locked="0"/>
    </xf>
    <xf numFmtId="0" fontId="20" fillId="8" borderId="13" xfId="0" applyFont="1" applyFill="1" applyBorder="1" applyAlignment="1" applyProtection="1">
      <alignment horizontal="center" vertical="center"/>
      <protection locked="0"/>
    </xf>
    <xf numFmtId="0" fontId="20" fillId="8" borderId="3" xfId="0" applyFont="1" applyFill="1" applyBorder="1" applyAlignment="1" applyProtection="1">
      <alignment horizontal="center" vertical="center"/>
      <protection locked="0"/>
    </xf>
    <xf numFmtId="0" fontId="7" fillId="5" borderId="0" xfId="0" applyFont="1" applyFill="1" applyAlignment="1">
      <alignment horizontal="center" vertical="center" wrapText="1"/>
    </xf>
    <xf numFmtId="0" fontId="0" fillId="2" borderId="0" xfId="0" applyFill="1" applyAlignment="1">
      <alignment horizontal="right" vertical="center" wrapText="1"/>
    </xf>
    <xf numFmtId="3" fontId="3" fillId="2" borderId="0" xfId="0" applyNumberFormat="1" applyFont="1" applyFill="1" applyAlignment="1">
      <alignment horizontal="center" vertical="center"/>
    </xf>
    <xf numFmtId="166" fontId="0" fillId="2" borderId="0" xfId="0" applyNumberFormat="1" applyFill="1" applyAlignment="1">
      <alignment horizontal="center" vertical="center"/>
    </xf>
    <xf numFmtId="3" fontId="3" fillId="5" borderId="0" xfId="0" applyNumberFormat="1" applyFont="1" applyFill="1" applyAlignment="1">
      <alignment horizontal="center" vertical="center"/>
    </xf>
    <xf numFmtId="166" fontId="3" fillId="2" borderId="0" xfId="0" applyNumberFormat="1" applyFont="1" applyFill="1" applyAlignment="1">
      <alignment horizontal="center" vertical="center"/>
    </xf>
    <xf numFmtId="165" fontId="0" fillId="2" borderId="0" xfId="1" applyNumberFormat="1" applyFont="1" applyFill="1" applyAlignment="1">
      <alignment horizontal="center" vertical="center"/>
    </xf>
    <xf numFmtId="3" fontId="3" fillId="9" borderId="0" xfId="0" applyNumberFormat="1" applyFont="1" applyFill="1" applyAlignment="1">
      <alignment horizontal="center" vertical="center"/>
    </xf>
    <xf numFmtId="0" fontId="3" fillId="5" borderId="21" xfId="0" applyFont="1" applyFill="1" applyBorder="1" applyAlignment="1">
      <alignment horizontal="center" vertical="center" wrapText="1"/>
    </xf>
    <xf numFmtId="0" fontId="3" fillId="5" borderId="19" xfId="0" applyFont="1" applyFill="1" applyBorder="1" applyAlignment="1">
      <alignment horizontal="center" vertical="center" wrapText="1"/>
    </xf>
    <xf numFmtId="0" fontId="3" fillId="9" borderId="21" xfId="0" applyFont="1" applyFill="1" applyBorder="1" applyAlignment="1">
      <alignment horizontal="center" vertical="center" wrapText="1"/>
    </xf>
    <xf numFmtId="0" fontId="3" fillId="9" borderId="19"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19" xfId="0" applyFont="1" applyFill="1" applyBorder="1" applyAlignment="1">
      <alignment horizontal="center" vertical="center" wrapText="1"/>
    </xf>
    <xf numFmtId="0" fontId="3" fillId="4" borderId="21" xfId="0" applyFont="1" applyFill="1" applyBorder="1" applyAlignment="1">
      <alignment horizontal="center" vertical="center" wrapText="1"/>
    </xf>
    <xf numFmtId="0" fontId="3" fillId="4" borderId="19" xfId="0" applyFont="1" applyFill="1" applyBorder="1" applyAlignment="1">
      <alignment horizontal="center" vertical="center" wrapText="1"/>
    </xf>
    <xf numFmtId="0" fontId="3" fillId="19" borderId="21" xfId="0" applyFont="1" applyFill="1" applyBorder="1" applyAlignment="1">
      <alignment horizontal="center" vertical="center" wrapText="1"/>
    </xf>
    <xf numFmtId="0" fontId="3" fillId="19" borderId="19" xfId="0" applyFont="1" applyFill="1" applyBorder="1" applyAlignment="1">
      <alignment horizontal="center" vertical="center" wrapText="1"/>
    </xf>
    <xf numFmtId="3" fontId="0" fillId="2" borderId="0" xfId="0" applyNumberFormat="1" applyFill="1" applyAlignment="1">
      <alignment horizontal="center" vertical="center"/>
    </xf>
    <xf numFmtId="3" fontId="20" fillId="7" borderId="17" xfId="0" applyNumberFormat="1" applyFont="1" applyFill="1" applyBorder="1" applyAlignment="1">
      <alignment horizontal="center" vertical="center"/>
    </xf>
    <xf numFmtId="3" fontId="20" fillId="7" borderId="18" xfId="0" applyNumberFormat="1" applyFont="1" applyFill="1" applyBorder="1" applyAlignment="1">
      <alignment horizontal="center" vertical="center"/>
    </xf>
    <xf numFmtId="0" fontId="20" fillId="7" borderId="16" xfId="0" applyFont="1" applyFill="1" applyBorder="1" applyAlignment="1">
      <alignment horizontal="center" vertical="center"/>
    </xf>
    <xf numFmtId="0" fontId="20" fillId="7" borderId="17" xfId="0" applyFont="1" applyFill="1" applyBorder="1" applyAlignment="1">
      <alignment horizontal="center" vertical="center"/>
    </xf>
    <xf numFmtId="0" fontId="20" fillId="7" borderId="18" xfId="0" applyFont="1" applyFill="1" applyBorder="1" applyAlignment="1">
      <alignment horizontal="center" vertical="center"/>
    </xf>
    <xf numFmtId="3" fontId="3" fillId="19" borderId="0" xfId="0" applyNumberFormat="1" applyFont="1" applyFill="1" applyAlignment="1">
      <alignment horizontal="center" vertical="center"/>
    </xf>
    <xf numFmtId="0" fontId="13" fillId="2" borderId="0" xfId="0" applyFont="1" applyFill="1" applyAlignment="1">
      <alignment horizontal="center" vertical="top"/>
    </xf>
    <xf numFmtId="0" fontId="7" fillId="9" borderId="0" xfId="0" applyFont="1" applyFill="1" applyAlignment="1">
      <alignment horizontal="center" vertical="center" wrapText="1"/>
    </xf>
    <xf numFmtId="0" fontId="0" fillId="2" borderId="0" xfId="0" applyFill="1" applyAlignment="1">
      <alignment horizontal="center" vertical="center" wrapText="1"/>
    </xf>
    <xf numFmtId="3" fontId="0" fillId="2" borderId="0" xfId="1" applyNumberFormat="1" applyFont="1" applyFill="1" applyAlignment="1">
      <alignment horizontal="center" vertical="center"/>
    </xf>
    <xf numFmtId="0" fontId="0" fillId="2" borderId="15" xfId="0" applyFill="1" applyBorder="1" applyAlignment="1">
      <alignment horizontal="right" vertical="center"/>
    </xf>
    <xf numFmtId="2" fontId="28" fillId="2" borderId="0" xfId="0" applyNumberFormat="1" applyFont="1" applyFill="1" applyAlignment="1">
      <alignment horizontal="center" vertical="center"/>
    </xf>
    <xf numFmtId="0" fontId="20" fillId="4" borderId="10" xfId="0" applyFont="1" applyFill="1" applyBorder="1" applyAlignment="1">
      <alignment horizontal="center" vertical="center" wrapText="1"/>
    </xf>
    <xf numFmtId="0" fontId="20" fillId="4" borderId="7" xfId="0" applyFont="1" applyFill="1" applyBorder="1" applyAlignment="1">
      <alignment horizontal="center" vertical="center" wrapText="1"/>
    </xf>
    <xf numFmtId="0" fontId="20" fillId="4" borderId="12" xfId="0" applyFont="1" applyFill="1" applyBorder="1" applyAlignment="1">
      <alignment horizontal="center" vertical="center" wrapText="1"/>
    </xf>
    <xf numFmtId="0" fontId="20" fillId="4" borderId="9" xfId="0" applyFont="1" applyFill="1" applyBorder="1" applyAlignment="1">
      <alignment horizontal="center" vertical="center" wrapText="1"/>
    </xf>
    <xf numFmtId="166" fontId="34" fillId="2" borderId="0" xfId="4" applyNumberFormat="1" applyFont="1" applyFill="1" applyBorder="1" applyAlignment="1" applyProtection="1">
      <alignment horizontal="center" vertical="center" wrapText="1"/>
    </xf>
    <xf numFmtId="166" fontId="34" fillId="2" borderId="0" xfId="4" applyNumberFormat="1" applyFont="1" applyFill="1" applyAlignment="1" applyProtection="1">
      <alignment horizontal="center" vertical="center" wrapText="1"/>
    </xf>
    <xf numFmtId="0" fontId="41" fillId="2" borderId="1" xfId="0" applyFont="1" applyFill="1" applyBorder="1" applyAlignment="1">
      <alignment horizontal="left" vertical="center" indent="1"/>
    </xf>
    <xf numFmtId="0" fontId="43" fillId="7" borderId="4" xfId="0" applyFont="1" applyFill="1" applyBorder="1" applyAlignment="1">
      <alignment horizontal="center" vertical="center"/>
    </xf>
    <xf numFmtId="0" fontId="43" fillId="7" borderId="1" xfId="0" applyFont="1" applyFill="1" applyBorder="1" applyAlignment="1">
      <alignment horizontal="center" vertical="center"/>
    </xf>
    <xf numFmtId="3" fontId="42" fillId="2" borderId="13" xfId="0" applyNumberFormat="1" applyFont="1" applyFill="1" applyBorder="1" applyAlignment="1">
      <alignment horizontal="center" vertical="center" wrapText="1"/>
    </xf>
    <xf numFmtId="3" fontId="42" fillId="2" borderId="3" xfId="0" applyNumberFormat="1" applyFont="1" applyFill="1" applyBorder="1" applyAlignment="1">
      <alignment horizontal="center" vertical="center" wrapText="1"/>
    </xf>
    <xf numFmtId="0" fontId="43" fillId="7" borderId="2" xfId="0" applyFont="1" applyFill="1" applyBorder="1" applyAlignment="1">
      <alignment horizontal="center" vertical="center"/>
    </xf>
    <xf numFmtId="0" fontId="43" fillId="7" borderId="13" xfId="0" applyFont="1" applyFill="1" applyBorder="1" applyAlignment="1">
      <alignment horizontal="center" vertical="center"/>
    </xf>
    <xf numFmtId="0" fontId="43" fillId="7" borderId="3" xfId="0" applyFont="1" applyFill="1" applyBorder="1" applyAlignment="1">
      <alignment horizontal="center" vertical="center"/>
    </xf>
    <xf numFmtId="0" fontId="43" fillId="8" borderId="3" xfId="0" applyFont="1" applyFill="1" applyBorder="1" applyAlignment="1" applyProtection="1">
      <alignment horizontal="center" vertical="center"/>
      <protection locked="0"/>
    </xf>
    <xf numFmtId="3" fontId="0" fillId="2" borderId="2" xfId="0" applyNumberFormat="1" applyFill="1" applyBorder="1" applyAlignment="1">
      <alignment horizontal="right"/>
    </xf>
    <xf numFmtId="3" fontId="0" fillId="2" borderId="13" xfId="0" applyNumberFormat="1" applyFill="1" applyBorder="1" applyAlignment="1">
      <alignment horizontal="right"/>
    </xf>
    <xf numFmtId="3" fontId="0" fillId="2" borderId="3" xfId="0" applyNumberFormat="1" applyFill="1" applyBorder="1" applyAlignment="1">
      <alignment horizontal="right"/>
    </xf>
    <xf numFmtId="3" fontId="0" fillId="2" borderId="11" xfId="0" applyNumberFormat="1" applyFill="1" applyBorder="1" applyAlignment="1">
      <alignment horizontal="right"/>
    </xf>
    <xf numFmtId="3" fontId="0" fillId="2" borderId="0" xfId="0" applyNumberFormat="1" applyFill="1" applyAlignment="1">
      <alignment horizontal="right"/>
    </xf>
    <xf numFmtId="3" fontId="0" fillId="2" borderId="8" xfId="0" applyNumberFormat="1" applyFill="1" applyBorder="1" applyAlignment="1">
      <alignment horizontal="right"/>
    </xf>
  </cellXfs>
  <cellStyles count="13">
    <cellStyle name="Lien hypertexte" xfId="4" builtinId="8"/>
    <cellStyle name="Lien hypertexte 2" xfId="11" xr:uid="{58FFBAD7-8318-4B27-93F1-C06EE54D8E71}"/>
    <cellStyle name="Milliers" xfId="12" builtinId="3"/>
    <cellStyle name="Normal" xfId="0" builtinId="0"/>
    <cellStyle name="Normal 10" xfId="10" xr:uid="{C717CFCC-BE29-4284-96FE-953E3BA48CD0}"/>
    <cellStyle name="Normal 2" xfId="2" xr:uid="{E0E40804-91A8-4E15-978E-FDC3679B9565}"/>
    <cellStyle name="Normal 2 2" xfId="7" xr:uid="{D53B2561-2CF8-465C-A94D-5D3C1FDA0B8C}"/>
    <cellStyle name="Normal 3" xfId="5" xr:uid="{120685E3-F313-4CC9-A35A-2159300893ED}"/>
    <cellStyle name="Normal 4" xfId="6" xr:uid="{F1D46053-A75F-4F41-8DD7-ACD00FA1F270}"/>
    <cellStyle name="Normal 5" xfId="8" xr:uid="{A70F14E0-E639-4217-9CB6-E2973B0535AB}"/>
    <cellStyle name="Normal 6" xfId="9" xr:uid="{8A79114E-070E-4D2D-BC11-02EAC961A1A3}"/>
    <cellStyle name="Pourcentage" xfId="1" builtinId="5"/>
    <cellStyle name="Pourcentage 2" xfId="3" xr:uid="{8EFA6447-DE52-4C24-BE2C-F5EF24DF0264}"/>
  </cellStyles>
  <dxfs count="52">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CCCCFF"/>
        </patternFill>
      </fill>
    </dxf>
    <dxf>
      <fill>
        <patternFill>
          <bgColor rgb="FFCCCCFF"/>
        </patternFill>
      </fill>
    </dxf>
    <dxf>
      <fill>
        <patternFill>
          <bgColor rgb="FF99FFCC"/>
        </patternFill>
      </fill>
    </dxf>
    <dxf>
      <font>
        <color rgb="FF9C5700"/>
      </font>
      <fill>
        <patternFill>
          <bgColor rgb="FFFFEB9C"/>
        </patternFill>
      </fill>
    </dxf>
    <dxf>
      <font>
        <color rgb="FF9C0006"/>
      </font>
      <fill>
        <patternFill>
          <bgColor rgb="FFFFC7CE"/>
        </patternFill>
      </fill>
    </dxf>
  </dxfs>
  <tableStyles count="0" defaultTableStyle="TableStyleMedium2" defaultPivotStyle="PivotStyleLight16"/>
  <colors>
    <mruColors>
      <color rgb="FFCCFFFF"/>
      <color rgb="FFFFFFCC"/>
      <color rgb="FF99FFCC"/>
      <color rgb="FFCCCCFF"/>
      <color rgb="FFFF99FF"/>
      <color rgb="FFFFFF99"/>
      <color rgb="FFCCECFF"/>
      <color rgb="FF66FF99"/>
      <color rgb="FF9A009A"/>
      <color rgb="FFFFE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112202</xdr:colOff>
      <xdr:row>0</xdr:row>
      <xdr:rowOff>133350</xdr:rowOff>
    </xdr:from>
    <xdr:to>
      <xdr:col>0</xdr:col>
      <xdr:colOff>571499</xdr:colOff>
      <xdr:row>6</xdr:row>
      <xdr:rowOff>21807</xdr:rowOff>
    </xdr:to>
    <xdr:pic>
      <xdr:nvPicPr>
        <xdr:cNvPr id="2" name="Image 1">
          <a:extLst>
            <a:ext uri="{FF2B5EF4-FFF2-40B4-BE49-F238E27FC236}">
              <a16:creationId xmlns:a16="http://schemas.microsoft.com/office/drawing/2014/main" id="{CF4C279F-9E7C-FB49-3611-BF9F5091033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02" y="133350"/>
          <a:ext cx="459297" cy="14791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63499</xdr:colOff>
      <xdr:row>0</xdr:row>
      <xdr:rowOff>64823</xdr:rowOff>
    </xdr:from>
    <xdr:to>
      <xdr:col>0</xdr:col>
      <xdr:colOff>316403</xdr:colOff>
      <xdr:row>3</xdr:row>
      <xdr:rowOff>33073</xdr:rowOff>
    </xdr:to>
    <xdr:pic>
      <xdr:nvPicPr>
        <xdr:cNvPr id="2" name="Image 1">
          <a:extLst>
            <a:ext uri="{FF2B5EF4-FFF2-40B4-BE49-F238E27FC236}">
              <a16:creationId xmlns:a16="http://schemas.microsoft.com/office/drawing/2014/main" id="{9DBDA863-D9E9-48D7-9F6C-11A0751F241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499" y="64823"/>
          <a:ext cx="252904" cy="825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647700</xdr:colOff>
      <xdr:row>7</xdr:row>
      <xdr:rowOff>276225</xdr:rowOff>
    </xdr:from>
    <xdr:to>
      <xdr:col>6</xdr:col>
      <xdr:colOff>647700</xdr:colOff>
      <xdr:row>10</xdr:row>
      <xdr:rowOff>28575</xdr:rowOff>
    </xdr:to>
    <xdr:cxnSp macro="">
      <xdr:nvCxnSpPr>
        <xdr:cNvPr id="3" name="Connecteur droit avec flèche 2">
          <a:extLst>
            <a:ext uri="{FF2B5EF4-FFF2-40B4-BE49-F238E27FC236}">
              <a16:creationId xmlns:a16="http://schemas.microsoft.com/office/drawing/2014/main" id="{A747A2A3-A809-4BE5-88CF-7FCB9DE5A252}"/>
            </a:ext>
          </a:extLst>
        </xdr:cNvPr>
        <xdr:cNvCxnSpPr/>
      </xdr:nvCxnSpPr>
      <xdr:spPr>
        <a:xfrm flipH="1">
          <a:off x="4743450" y="2276475"/>
          <a:ext cx="0" cy="609600"/>
        </a:xfrm>
        <a:prstGeom prst="straightConnector1">
          <a:avLst/>
        </a:prstGeom>
        <a:ln>
          <a:solidFill>
            <a:srgbClr val="7030A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68811</xdr:colOff>
      <xdr:row>0</xdr:row>
      <xdr:rowOff>95250</xdr:rowOff>
    </xdr:from>
    <xdr:to>
      <xdr:col>0</xdr:col>
      <xdr:colOff>321715</xdr:colOff>
      <xdr:row>3</xdr:row>
      <xdr:rowOff>63500</xdr:rowOff>
    </xdr:to>
    <xdr:pic>
      <xdr:nvPicPr>
        <xdr:cNvPr id="2" name="Image 1">
          <a:extLst>
            <a:ext uri="{FF2B5EF4-FFF2-40B4-BE49-F238E27FC236}">
              <a16:creationId xmlns:a16="http://schemas.microsoft.com/office/drawing/2014/main" id="{67509BBE-A041-48F0-8FF8-80FF7AEF05A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811" y="95250"/>
          <a:ext cx="252904" cy="825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52915</xdr:colOff>
      <xdr:row>0</xdr:row>
      <xdr:rowOff>63500</xdr:rowOff>
    </xdr:from>
    <xdr:to>
      <xdr:col>0</xdr:col>
      <xdr:colOff>305819</xdr:colOff>
      <xdr:row>3</xdr:row>
      <xdr:rowOff>31750</xdr:rowOff>
    </xdr:to>
    <xdr:pic>
      <xdr:nvPicPr>
        <xdr:cNvPr id="2" name="Image 1">
          <a:extLst>
            <a:ext uri="{FF2B5EF4-FFF2-40B4-BE49-F238E27FC236}">
              <a16:creationId xmlns:a16="http://schemas.microsoft.com/office/drawing/2014/main" id="{D857ABE0-8F9B-4C05-87E5-4062661D0AF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915" y="63500"/>
          <a:ext cx="252904" cy="825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ASCH\Daten_neu\Tabellen_zur_Kontrolle\SfproE\SfproE_nach_Kantonen_mit_Formeln-2009111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Bfs003san\GEO_DATA_M\Pfister\Datenauswertung2006ff\Auswertungen10\SfproE10\Berechnungen_10\SfproE_nach_Kantonen_mit_Formeln-200911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nnwerte_Release"/>
      <sheetName val="Kantone SfproE 2004-09"/>
      <sheetName val="Kantone SfproE 1992-97"/>
      <sheetName val="Kantone SfproE 1979-85"/>
      <sheetName val="Differenzen"/>
      <sheetName val="SiedProEinw09_Kt_091110"/>
      <sheetName val="Perimeter"/>
      <sheetName val="NOAS04-Siedlung-d"/>
      <sheetName val="NOAS04-habitat-f"/>
    </sheetNames>
    <sheetDataSet>
      <sheetData sheetId="0" refreshError="1"/>
      <sheetData sheetId="1">
        <row r="22">
          <cell r="A22">
            <v>1</v>
          </cell>
          <cell r="B22" t="str">
            <v>Zürich</v>
          </cell>
          <cell r="C22" t="str">
            <v>...</v>
          </cell>
          <cell r="D22" t="str">
            <v>...</v>
          </cell>
          <cell r="E22" t="str">
            <v>...</v>
          </cell>
          <cell r="F22" t="str">
            <v>...</v>
          </cell>
          <cell r="G22" t="str">
            <v>...</v>
          </cell>
          <cell r="H22" t="str">
            <v>...</v>
          </cell>
          <cell r="I22" t="str">
            <v>...</v>
          </cell>
          <cell r="J22" t="str">
            <v>...</v>
          </cell>
          <cell r="L22" t="str">
            <v>...</v>
          </cell>
          <cell r="M22"/>
        </row>
        <row r="23">
          <cell r="A23">
            <v>2</v>
          </cell>
          <cell r="B23" t="str">
            <v>Bern</v>
          </cell>
          <cell r="C23" t="str">
            <v>2004/07</v>
          </cell>
          <cell r="D23">
            <v>427.92</v>
          </cell>
          <cell r="E23">
            <v>30.57</v>
          </cell>
          <cell r="F23">
            <v>216.53</v>
          </cell>
          <cell r="G23">
            <v>137.81</v>
          </cell>
          <cell r="H23">
            <v>18.95</v>
          </cell>
          <cell r="I23">
            <v>24.06</v>
          </cell>
          <cell r="J23">
            <v>962755</v>
          </cell>
          <cell r="L23">
            <v>427.91999999999996</v>
          </cell>
          <cell r="M23">
            <v>-5.6843418860808015E-14</v>
          </cell>
        </row>
        <row r="24">
          <cell r="A24">
            <v>3</v>
          </cell>
          <cell r="B24" t="str">
            <v>Luzern</v>
          </cell>
          <cell r="C24" t="str">
            <v>2006/07</v>
          </cell>
          <cell r="D24">
            <v>398.67</v>
          </cell>
          <cell r="E24">
            <v>37.03</v>
          </cell>
          <cell r="F24">
            <v>198.74</v>
          </cell>
          <cell r="G24">
            <v>117.2</v>
          </cell>
          <cell r="H24">
            <v>22.5</v>
          </cell>
          <cell r="I24">
            <v>23.2</v>
          </cell>
          <cell r="J24">
            <v>360824</v>
          </cell>
          <cell r="L24">
            <v>398.67</v>
          </cell>
          <cell r="M24">
            <v>0</v>
          </cell>
        </row>
        <row r="25">
          <cell r="A25">
            <v>4</v>
          </cell>
          <cell r="B25" t="str">
            <v>Uri</v>
          </cell>
          <cell r="C25" t="str">
            <v>...</v>
          </cell>
          <cell r="D25" t="str">
            <v>...</v>
          </cell>
          <cell r="E25" t="str">
            <v>...</v>
          </cell>
          <cell r="F25" t="str">
            <v>...</v>
          </cell>
          <cell r="G25" t="str">
            <v>...</v>
          </cell>
          <cell r="H25" t="str">
            <v>...</v>
          </cell>
          <cell r="I25" t="str">
            <v>...</v>
          </cell>
          <cell r="J25" t="str">
            <v>...</v>
          </cell>
          <cell r="L25" t="str">
            <v>...</v>
          </cell>
          <cell r="M25"/>
        </row>
        <row r="26">
          <cell r="A26">
            <v>5</v>
          </cell>
          <cell r="B26" t="str">
            <v>Schwyz</v>
          </cell>
          <cell r="C26" t="str">
            <v>...</v>
          </cell>
          <cell r="D26" t="str">
            <v>...</v>
          </cell>
          <cell r="E26" t="str">
            <v>...</v>
          </cell>
          <cell r="F26" t="str">
            <v>...</v>
          </cell>
          <cell r="G26" t="str">
            <v>...</v>
          </cell>
          <cell r="H26" t="str">
            <v>...</v>
          </cell>
          <cell r="I26" t="str">
            <v>...</v>
          </cell>
          <cell r="J26" t="str">
            <v>...</v>
          </cell>
          <cell r="L26" t="str">
            <v>...</v>
          </cell>
          <cell r="M26"/>
        </row>
        <row r="27">
          <cell r="A27">
            <v>6</v>
          </cell>
          <cell r="B27" t="str">
            <v>Obwalden</v>
          </cell>
          <cell r="C27" t="str">
            <v>2006/07</v>
          </cell>
          <cell r="D27">
            <v>556.89</v>
          </cell>
          <cell r="E27">
            <v>32.01</v>
          </cell>
          <cell r="F27">
            <v>258.74</v>
          </cell>
          <cell r="G27">
            <v>196.2</v>
          </cell>
          <cell r="H27">
            <v>38.53</v>
          </cell>
          <cell r="I27">
            <v>31.42</v>
          </cell>
          <cell r="J27">
            <v>33741</v>
          </cell>
          <cell r="L27">
            <v>556.9</v>
          </cell>
          <cell r="M27">
            <v>9.9999999999909051E-3</v>
          </cell>
        </row>
        <row r="28">
          <cell r="A28">
            <v>7</v>
          </cell>
          <cell r="B28" t="str">
            <v>Nidwalden</v>
          </cell>
          <cell r="C28">
            <v>2007</v>
          </cell>
          <cell r="D28">
            <v>374.56</v>
          </cell>
          <cell r="E28">
            <v>29.32</v>
          </cell>
          <cell r="F28">
            <v>185.51</v>
          </cell>
          <cell r="G28">
            <v>119.55</v>
          </cell>
          <cell r="H28">
            <v>23.25</v>
          </cell>
          <cell r="I28">
            <v>16.93</v>
          </cell>
          <cell r="J28">
            <v>39566</v>
          </cell>
          <cell r="L28">
            <v>374.56</v>
          </cell>
          <cell r="M28">
            <v>0</v>
          </cell>
        </row>
        <row r="29">
          <cell r="A29">
            <v>8</v>
          </cell>
          <cell r="B29" t="str">
            <v>Glarus</v>
          </cell>
          <cell r="C29" t="str">
            <v>...</v>
          </cell>
          <cell r="D29" t="str">
            <v>...</v>
          </cell>
          <cell r="E29" t="str">
            <v>...</v>
          </cell>
          <cell r="F29" t="str">
            <v>...</v>
          </cell>
          <cell r="G29" t="str">
            <v>...</v>
          </cell>
          <cell r="H29" t="str">
            <v>...</v>
          </cell>
          <cell r="I29" t="str">
            <v>...</v>
          </cell>
          <cell r="J29" t="str">
            <v>...</v>
          </cell>
          <cell r="L29" t="str">
            <v>...</v>
          </cell>
          <cell r="M29"/>
        </row>
        <row r="30">
          <cell r="A30">
            <v>9</v>
          </cell>
          <cell r="B30" t="str">
            <v>Zug</v>
          </cell>
          <cell r="C30" t="str">
            <v>...</v>
          </cell>
          <cell r="D30" t="str">
            <v>...</v>
          </cell>
          <cell r="E30" t="str">
            <v>...</v>
          </cell>
          <cell r="F30" t="str">
            <v>...</v>
          </cell>
          <cell r="G30" t="str">
            <v>...</v>
          </cell>
          <cell r="H30" t="str">
            <v>...</v>
          </cell>
          <cell r="I30" t="str">
            <v>...</v>
          </cell>
          <cell r="J30" t="str">
            <v>...</v>
          </cell>
          <cell r="L30" t="str">
            <v>...</v>
          </cell>
          <cell r="M30"/>
        </row>
        <row r="31">
          <cell r="A31">
            <v>10</v>
          </cell>
          <cell r="B31" t="str">
            <v>Fribourg</v>
          </cell>
          <cell r="C31" t="str">
            <v>2004/05</v>
          </cell>
          <cell r="D31">
            <v>555.5</v>
          </cell>
          <cell r="E31">
            <v>35.880000000000003</v>
          </cell>
          <cell r="F31">
            <v>278.17</v>
          </cell>
          <cell r="G31">
            <v>180.64</v>
          </cell>
          <cell r="H31">
            <v>31.08</v>
          </cell>
          <cell r="I31">
            <v>29.73</v>
          </cell>
          <cell r="J31">
            <v>251936</v>
          </cell>
          <cell r="L31">
            <v>555.5</v>
          </cell>
          <cell r="M31">
            <v>0</v>
          </cell>
        </row>
        <row r="32">
          <cell r="A32">
            <v>11</v>
          </cell>
          <cell r="B32" t="str">
            <v>Solothurn</v>
          </cell>
          <cell r="C32" t="str">
            <v>2005/06</v>
          </cell>
          <cell r="D32">
            <v>443.16</v>
          </cell>
          <cell r="E32">
            <v>44.7</v>
          </cell>
          <cell r="F32">
            <v>224.96</v>
          </cell>
          <cell r="G32">
            <v>123.42</v>
          </cell>
          <cell r="H32">
            <v>23.91</v>
          </cell>
          <cell r="I32">
            <v>26.17</v>
          </cell>
          <cell r="J32">
            <v>247200</v>
          </cell>
          <cell r="L32">
            <v>443.16000000000008</v>
          </cell>
          <cell r="M32">
            <v>5.6843418860808015E-14</v>
          </cell>
        </row>
        <row r="33">
          <cell r="A33">
            <v>12</v>
          </cell>
          <cell r="B33" t="str">
            <v>Basel-Stadt</v>
          </cell>
          <cell r="C33">
            <v>2005</v>
          </cell>
          <cell r="D33">
            <v>137.93</v>
          </cell>
          <cell r="E33">
            <v>12.91</v>
          </cell>
          <cell r="F33">
            <v>68.75</v>
          </cell>
          <cell r="G33">
            <v>34.69</v>
          </cell>
          <cell r="H33">
            <v>3.73</v>
          </cell>
          <cell r="I33">
            <v>17.84</v>
          </cell>
          <cell r="J33">
            <v>190536</v>
          </cell>
          <cell r="L33">
            <v>137.91999999999999</v>
          </cell>
          <cell r="M33">
            <v>-1.0000000000019327E-2</v>
          </cell>
        </row>
        <row r="34">
          <cell r="A34">
            <v>13</v>
          </cell>
          <cell r="B34" t="str">
            <v>Basel-Landschaft</v>
          </cell>
          <cell r="C34" t="str">
            <v>2005/06</v>
          </cell>
          <cell r="D34">
            <v>340.42</v>
          </cell>
          <cell r="E34">
            <v>36.78</v>
          </cell>
          <cell r="F34">
            <v>173.72</v>
          </cell>
          <cell r="G34">
            <v>90.88</v>
          </cell>
          <cell r="H34">
            <v>15.39</v>
          </cell>
          <cell r="I34">
            <v>23.65</v>
          </cell>
          <cell r="J34">
            <v>265083</v>
          </cell>
          <cell r="L34">
            <v>340.41999999999996</v>
          </cell>
          <cell r="M34">
            <v>-5.6843418860808015E-14</v>
          </cell>
        </row>
        <row r="35">
          <cell r="A35">
            <v>14</v>
          </cell>
          <cell r="B35" t="str">
            <v>Schaffhausen</v>
          </cell>
          <cell r="C35" t="str">
            <v>...</v>
          </cell>
          <cell r="D35" t="str">
            <v>...</v>
          </cell>
          <cell r="E35" t="str">
            <v>...</v>
          </cell>
          <cell r="F35" t="str">
            <v>...</v>
          </cell>
          <cell r="G35" t="str">
            <v>...</v>
          </cell>
          <cell r="H35" t="str">
            <v>...</v>
          </cell>
          <cell r="I35" t="str">
            <v>...</v>
          </cell>
          <cell r="J35" t="str">
            <v>...</v>
          </cell>
          <cell r="L35" t="str">
            <v>...</v>
          </cell>
          <cell r="M35"/>
        </row>
        <row r="36">
          <cell r="A36">
            <v>15</v>
          </cell>
          <cell r="B36" t="str">
            <v>Appenzell Ausserrhoden</v>
          </cell>
          <cell r="C36" t="str">
            <v>...</v>
          </cell>
          <cell r="D36" t="str">
            <v>...</v>
          </cell>
          <cell r="E36" t="str">
            <v>...</v>
          </cell>
          <cell r="F36" t="str">
            <v>...</v>
          </cell>
          <cell r="G36" t="str">
            <v>...</v>
          </cell>
          <cell r="H36" t="str">
            <v>...</v>
          </cell>
          <cell r="I36" t="str">
            <v>...</v>
          </cell>
          <cell r="J36" t="str">
            <v>...</v>
          </cell>
          <cell r="L36" t="str">
            <v>...</v>
          </cell>
          <cell r="M36"/>
        </row>
        <row r="37">
          <cell r="A37">
            <v>16</v>
          </cell>
          <cell r="B37" t="str">
            <v>Appenzell Innerrhoden</v>
          </cell>
          <cell r="C37" t="str">
            <v>...</v>
          </cell>
          <cell r="D37" t="str">
            <v>...</v>
          </cell>
          <cell r="E37" t="str">
            <v>...</v>
          </cell>
          <cell r="F37" t="str">
            <v>...</v>
          </cell>
          <cell r="G37" t="str">
            <v>...</v>
          </cell>
          <cell r="H37" t="str">
            <v>...</v>
          </cell>
          <cell r="I37" t="str">
            <v>...</v>
          </cell>
          <cell r="J37" t="str">
            <v>...</v>
          </cell>
          <cell r="L37" t="str">
            <v>...</v>
          </cell>
          <cell r="M37"/>
        </row>
        <row r="38">
          <cell r="A38">
            <v>17</v>
          </cell>
          <cell r="B38" t="str">
            <v>St. Gallen</v>
          </cell>
          <cell r="C38" t="str">
            <v>...</v>
          </cell>
          <cell r="D38" t="str">
            <v>...</v>
          </cell>
          <cell r="E38" t="str">
            <v>...</v>
          </cell>
          <cell r="F38" t="str">
            <v>...</v>
          </cell>
          <cell r="G38" t="str">
            <v>...</v>
          </cell>
          <cell r="H38" t="str">
            <v>...</v>
          </cell>
          <cell r="I38" t="str">
            <v>...</v>
          </cell>
          <cell r="J38" t="str">
            <v>...</v>
          </cell>
          <cell r="L38" t="str">
            <v>...</v>
          </cell>
          <cell r="M38"/>
        </row>
        <row r="39">
          <cell r="A39">
            <v>18</v>
          </cell>
          <cell r="B39" t="str">
            <v>Graubünden</v>
          </cell>
          <cell r="C39" t="str">
            <v>...</v>
          </cell>
          <cell r="D39" t="str">
            <v>...</v>
          </cell>
          <cell r="E39" t="str">
            <v>...</v>
          </cell>
          <cell r="F39" t="str">
            <v>...</v>
          </cell>
          <cell r="G39" t="str">
            <v>...</v>
          </cell>
          <cell r="H39" t="str">
            <v>...</v>
          </cell>
          <cell r="I39" t="str">
            <v>...</v>
          </cell>
          <cell r="J39" t="str">
            <v>...</v>
          </cell>
          <cell r="L39" t="str">
            <v>...</v>
          </cell>
          <cell r="M39"/>
        </row>
        <row r="40">
          <cell r="A40">
            <v>19</v>
          </cell>
          <cell r="B40" t="str">
            <v>Aargau</v>
          </cell>
          <cell r="C40" t="str">
            <v>2006/07</v>
          </cell>
          <cell r="D40">
            <v>413.82</v>
          </cell>
          <cell r="E40">
            <v>42.07</v>
          </cell>
          <cell r="F40">
            <v>208.93</v>
          </cell>
          <cell r="G40">
            <v>117.37</v>
          </cell>
          <cell r="H40">
            <v>25.55</v>
          </cell>
          <cell r="I40">
            <v>19.899999999999999</v>
          </cell>
          <cell r="J40">
            <v>576457</v>
          </cell>
          <cell r="L40">
            <v>413.82</v>
          </cell>
          <cell r="M40">
            <v>0</v>
          </cell>
        </row>
        <row r="41">
          <cell r="A41">
            <v>20</v>
          </cell>
          <cell r="B41" t="str">
            <v>Thurgau</v>
          </cell>
          <cell r="C41" t="str">
            <v>...</v>
          </cell>
          <cell r="D41" t="str">
            <v>...</v>
          </cell>
          <cell r="E41" t="str">
            <v>...</v>
          </cell>
          <cell r="F41" t="str">
            <v>...</v>
          </cell>
          <cell r="G41" t="str">
            <v>...</v>
          </cell>
          <cell r="H41" t="str">
            <v>...</v>
          </cell>
          <cell r="I41" t="str">
            <v>...</v>
          </cell>
          <cell r="J41" t="str">
            <v>...</v>
          </cell>
          <cell r="L41" t="str">
            <v>...</v>
          </cell>
          <cell r="M41"/>
        </row>
        <row r="42">
          <cell r="A42">
            <v>21</v>
          </cell>
          <cell r="B42" t="str">
            <v>Ticino</v>
          </cell>
          <cell r="C42" t="str">
            <v>...</v>
          </cell>
          <cell r="D42" t="str">
            <v>...</v>
          </cell>
          <cell r="E42" t="str">
            <v>...</v>
          </cell>
          <cell r="F42" t="str">
            <v>...</v>
          </cell>
          <cell r="G42" t="str">
            <v>...</v>
          </cell>
          <cell r="H42" t="str">
            <v>...</v>
          </cell>
          <cell r="I42" t="str">
            <v>...</v>
          </cell>
          <cell r="J42" t="str">
            <v>...</v>
          </cell>
          <cell r="L42" t="str">
            <v>...</v>
          </cell>
          <cell r="M42"/>
        </row>
        <row r="43">
          <cell r="A43">
            <v>22</v>
          </cell>
          <cell r="B43" t="str">
            <v>Vaud</v>
          </cell>
          <cell r="C43" t="str">
            <v>2004/05</v>
          </cell>
          <cell r="D43">
            <v>454.97</v>
          </cell>
          <cell r="E43">
            <v>28.08</v>
          </cell>
          <cell r="F43">
            <v>218.5</v>
          </cell>
          <cell r="G43">
            <v>153.69</v>
          </cell>
          <cell r="H43">
            <v>21.99</v>
          </cell>
          <cell r="I43">
            <v>32.71</v>
          </cell>
          <cell r="J43">
            <v>658127</v>
          </cell>
          <cell r="L43">
            <v>454.96999999999997</v>
          </cell>
          <cell r="M43">
            <v>-5.6843418860808015E-14</v>
          </cell>
        </row>
        <row r="44">
          <cell r="A44">
            <v>23</v>
          </cell>
          <cell r="B44" t="str">
            <v>Valais</v>
          </cell>
          <cell r="C44" t="str">
            <v>...</v>
          </cell>
          <cell r="D44" t="str">
            <v>...</v>
          </cell>
          <cell r="E44" t="str">
            <v>...</v>
          </cell>
          <cell r="F44" t="str">
            <v>...</v>
          </cell>
          <cell r="G44" t="str">
            <v>...</v>
          </cell>
          <cell r="H44" t="str">
            <v>...</v>
          </cell>
          <cell r="I44" t="str">
            <v>...</v>
          </cell>
          <cell r="J44" t="str">
            <v>...</v>
          </cell>
          <cell r="L44" t="str">
            <v>...</v>
          </cell>
          <cell r="M44"/>
        </row>
        <row r="45">
          <cell r="A45">
            <v>24</v>
          </cell>
          <cell r="B45" t="str">
            <v>Neuchâtel</v>
          </cell>
          <cell r="C45" t="str">
            <v>2004/05</v>
          </cell>
          <cell r="D45">
            <v>397.33</v>
          </cell>
          <cell r="E45">
            <v>32.549999999999997</v>
          </cell>
          <cell r="F45">
            <v>188.32</v>
          </cell>
          <cell r="G45">
            <v>124.4</v>
          </cell>
          <cell r="H45">
            <v>22.59</v>
          </cell>
          <cell r="I45">
            <v>29.47</v>
          </cell>
          <cell r="J45">
            <v>168649</v>
          </cell>
          <cell r="L45">
            <v>397.32999999999993</v>
          </cell>
          <cell r="M45">
            <v>-5.6843418860808015E-14</v>
          </cell>
        </row>
        <row r="46">
          <cell r="A46">
            <v>25</v>
          </cell>
          <cell r="B46" t="str">
            <v>Genève</v>
          </cell>
          <cell r="C46">
            <v>2004</v>
          </cell>
          <cell r="D46">
            <v>217.82</v>
          </cell>
          <cell r="E46">
            <v>14.25</v>
          </cell>
          <cell r="F46">
            <v>119.36</v>
          </cell>
          <cell r="G46">
            <v>55.46</v>
          </cell>
          <cell r="H46">
            <v>9.1199999999999992</v>
          </cell>
          <cell r="I46">
            <v>19.64</v>
          </cell>
          <cell r="J46">
            <v>432235</v>
          </cell>
          <cell r="L46">
            <v>217.83000000000004</v>
          </cell>
          <cell r="M46">
            <v>1.0000000000047748E-2</v>
          </cell>
        </row>
        <row r="47">
          <cell r="A47">
            <v>26</v>
          </cell>
          <cell r="B47" t="str">
            <v>Jura</v>
          </cell>
          <cell r="C47">
            <v>2005</v>
          </cell>
          <cell r="D47">
            <v>826.98</v>
          </cell>
          <cell r="E47">
            <v>52.73</v>
          </cell>
          <cell r="F47">
            <v>382.04</v>
          </cell>
          <cell r="G47">
            <v>289.99</v>
          </cell>
          <cell r="H47">
            <v>65.540000000000006</v>
          </cell>
          <cell r="I47">
            <v>36.67</v>
          </cell>
          <cell r="J47">
            <v>67898</v>
          </cell>
          <cell r="L47">
            <v>826.96999999999991</v>
          </cell>
          <cell r="M47">
            <v>-1.0000000000104592E-2</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nnwerte_Release"/>
      <sheetName val="Kantone SfproE 2004-09"/>
      <sheetName val="Kantone SfproE 1992-97"/>
      <sheetName val="Kantone SfproE 1979-85"/>
      <sheetName val="Differenzen"/>
      <sheetName val="SiedProEinw09_Kt_091110"/>
      <sheetName val="Perimeter"/>
      <sheetName val="NOAS04-Siedlung-d"/>
      <sheetName val="NOAS04-habitat-f"/>
    </sheetNames>
    <sheetDataSet>
      <sheetData sheetId="0" refreshError="1"/>
      <sheetData sheetId="1">
        <row r="22">
          <cell r="A22">
            <v>1</v>
          </cell>
          <cell r="B22" t="str">
            <v>Zürich</v>
          </cell>
          <cell r="C22" t="str">
            <v>...</v>
          </cell>
          <cell r="D22" t="str">
            <v>...</v>
          </cell>
          <cell r="E22" t="str">
            <v>...</v>
          </cell>
          <cell r="F22" t="str">
            <v>...</v>
          </cell>
          <cell r="G22" t="str">
            <v>...</v>
          </cell>
          <cell r="H22" t="str">
            <v>...</v>
          </cell>
          <cell r="I22" t="str">
            <v>...</v>
          </cell>
          <cell r="J22" t="str">
            <v>...</v>
          </cell>
          <cell r="L22" t="str">
            <v>...</v>
          </cell>
          <cell r="M22"/>
        </row>
        <row r="23">
          <cell r="A23">
            <v>2</v>
          </cell>
          <cell r="B23" t="str">
            <v>Bern</v>
          </cell>
          <cell r="C23" t="str">
            <v>2004/07</v>
          </cell>
          <cell r="D23">
            <v>427.92</v>
          </cell>
          <cell r="E23">
            <v>30.57</v>
          </cell>
          <cell r="F23">
            <v>216.53</v>
          </cell>
          <cell r="G23">
            <v>137.81</v>
          </cell>
          <cell r="H23">
            <v>18.95</v>
          </cell>
          <cell r="I23">
            <v>24.06</v>
          </cell>
          <cell r="J23">
            <v>962755</v>
          </cell>
          <cell r="L23">
            <v>427.91999999999996</v>
          </cell>
          <cell r="M23">
            <v>-5.6843418860808015E-14</v>
          </cell>
        </row>
        <row r="24">
          <cell r="A24">
            <v>3</v>
          </cell>
          <cell r="B24" t="str">
            <v>Luzern</v>
          </cell>
          <cell r="C24" t="str">
            <v>2006/07</v>
          </cell>
          <cell r="D24">
            <v>398.67</v>
          </cell>
          <cell r="E24">
            <v>37.03</v>
          </cell>
          <cell r="F24">
            <v>198.74</v>
          </cell>
          <cell r="G24">
            <v>117.2</v>
          </cell>
          <cell r="H24">
            <v>22.5</v>
          </cell>
          <cell r="I24">
            <v>23.2</v>
          </cell>
          <cell r="J24">
            <v>360824</v>
          </cell>
          <cell r="L24">
            <v>398.67</v>
          </cell>
          <cell r="M24">
            <v>0</v>
          </cell>
        </row>
        <row r="25">
          <cell r="A25">
            <v>4</v>
          </cell>
          <cell r="B25" t="str">
            <v>Uri</v>
          </cell>
          <cell r="C25" t="str">
            <v>...</v>
          </cell>
          <cell r="D25" t="str">
            <v>...</v>
          </cell>
          <cell r="E25" t="str">
            <v>...</v>
          </cell>
          <cell r="F25" t="str">
            <v>...</v>
          </cell>
          <cell r="G25" t="str">
            <v>...</v>
          </cell>
          <cell r="H25" t="str">
            <v>...</v>
          </cell>
          <cell r="I25" t="str">
            <v>...</v>
          </cell>
          <cell r="J25" t="str">
            <v>...</v>
          </cell>
          <cell r="L25" t="str">
            <v>...</v>
          </cell>
          <cell r="M25"/>
        </row>
        <row r="26">
          <cell r="A26">
            <v>5</v>
          </cell>
          <cell r="B26" t="str">
            <v>Schwyz</v>
          </cell>
          <cell r="C26" t="str">
            <v>...</v>
          </cell>
          <cell r="D26" t="str">
            <v>...</v>
          </cell>
          <cell r="E26" t="str">
            <v>...</v>
          </cell>
          <cell r="F26" t="str">
            <v>...</v>
          </cell>
          <cell r="G26" t="str">
            <v>...</v>
          </cell>
          <cell r="H26" t="str">
            <v>...</v>
          </cell>
          <cell r="I26" t="str">
            <v>...</v>
          </cell>
          <cell r="J26" t="str">
            <v>...</v>
          </cell>
          <cell r="L26" t="str">
            <v>...</v>
          </cell>
          <cell r="M26"/>
        </row>
        <row r="27">
          <cell r="A27">
            <v>6</v>
          </cell>
          <cell r="B27" t="str">
            <v>Obwalden</v>
          </cell>
          <cell r="C27" t="str">
            <v>2006/07</v>
          </cell>
          <cell r="D27">
            <v>556.89</v>
          </cell>
          <cell r="E27">
            <v>32.01</v>
          </cell>
          <cell r="F27">
            <v>258.74</v>
          </cell>
          <cell r="G27">
            <v>196.2</v>
          </cell>
          <cell r="H27">
            <v>38.53</v>
          </cell>
          <cell r="I27">
            <v>31.42</v>
          </cell>
          <cell r="J27">
            <v>33741</v>
          </cell>
          <cell r="L27">
            <v>556.9</v>
          </cell>
          <cell r="M27">
            <v>9.9999999999909051E-3</v>
          </cell>
        </row>
        <row r="28">
          <cell r="A28">
            <v>7</v>
          </cell>
          <cell r="B28" t="str">
            <v>Nidwalden</v>
          </cell>
          <cell r="C28">
            <v>2007</v>
          </cell>
          <cell r="D28">
            <v>374.56</v>
          </cell>
          <cell r="E28">
            <v>29.32</v>
          </cell>
          <cell r="F28">
            <v>185.51</v>
          </cell>
          <cell r="G28">
            <v>119.55</v>
          </cell>
          <cell r="H28">
            <v>23.25</v>
          </cell>
          <cell r="I28">
            <v>16.93</v>
          </cell>
          <cell r="J28">
            <v>39566</v>
          </cell>
          <cell r="L28">
            <v>374.56</v>
          </cell>
          <cell r="M28">
            <v>0</v>
          </cell>
        </row>
        <row r="29">
          <cell r="A29">
            <v>8</v>
          </cell>
          <cell r="B29" t="str">
            <v>Glarus</v>
          </cell>
          <cell r="C29" t="str">
            <v>...</v>
          </cell>
          <cell r="D29" t="str">
            <v>...</v>
          </cell>
          <cell r="E29" t="str">
            <v>...</v>
          </cell>
          <cell r="F29" t="str">
            <v>...</v>
          </cell>
          <cell r="G29" t="str">
            <v>...</v>
          </cell>
          <cell r="H29" t="str">
            <v>...</v>
          </cell>
          <cell r="I29" t="str">
            <v>...</v>
          </cell>
          <cell r="J29" t="str">
            <v>...</v>
          </cell>
          <cell r="L29" t="str">
            <v>...</v>
          </cell>
          <cell r="M29"/>
        </row>
        <row r="30">
          <cell r="A30">
            <v>9</v>
          </cell>
          <cell r="B30" t="str">
            <v>Zug</v>
          </cell>
          <cell r="C30" t="str">
            <v>...</v>
          </cell>
          <cell r="D30" t="str">
            <v>...</v>
          </cell>
          <cell r="E30" t="str">
            <v>...</v>
          </cell>
          <cell r="F30" t="str">
            <v>...</v>
          </cell>
          <cell r="G30" t="str">
            <v>...</v>
          </cell>
          <cell r="H30" t="str">
            <v>...</v>
          </cell>
          <cell r="I30" t="str">
            <v>...</v>
          </cell>
          <cell r="J30" t="str">
            <v>...</v>
          </cell>
          <cell r="L30" t="str">
            <v>...</v>
          </cell>
          <cell r="M30"/>
        </row>
        <row r="31">
          <cell r="A31">
            <v>10</v>
          </cell>
          <cell r="B31" t="str">
            <v>Fribourg</v>
          </cell>
          <cell r="C31" t="str">
            <v>2004/05</v>
          </cell>
          <cell r="D31">
            <v>555.5</v>
          </cell>
          <cell r="E31">
            <v>35.880000000000003</v>
          </cell>
          <cell r="F31">
            <v>278.17</v>
          </cell>
          <cell r="G31">
            <v>180.64</v>
          </cell>
          <cell r="H31">
            <v>31.08</v>
          </cell>
          <cell r="I31">
            <v>29.73</v>
          </cell>
          <cell r="J31">
            <v>251936</v>
          </cell>
          <cell r="L31">
            <v>555.5</v>
          </cell>
          <cell r="M31">
            <v>0</v>
          </cell>
        </row>
        <row r="32">
          <cell r="A32">
            <v>11</v>
          </cell>
          <cell r="B32" t="str">
            <v>Solothurn</v>
          </cell>
          <cell r="C32" t="str">
            <v>2005/06</v>
          </cell>
          <cell r="D32">
            <v>443.16</v>
          </cell>
          <cell r="E32">
            <v>44.7</v>
          </cell>
          <cell r="F32">
            <v>224.96</v>
          </cell>
          <cell r="G32">
            <v>123.42</v>
          </cell>
          <cell r="H32">
            <v>23.91</v>
          </cell>
          <cell r="I32">
            <v>26.17</v>
          </cell>
          <cell r="J32">
            <v>247200</v>
          </cell>
          <cell r="L32">
            <v>443.16000000000008</v>
          </cell>
          <cell r="M32">
            <v>5.6843418860808015E-14</v>
          </cell>
        </row>
        <row r="33">
          <cell r="A33">
            <v>12</v>
          </cell>
          <cell r="B33" t="str">
            <v>Basel-Stadt</v>
          </cell>
          <cell r="C33">
            <v>2005</v>
          </cell>
          <cell r="D33">
            <v>137.93</v>
          </cell>
          <cell r="E33">
            <v>12.91</v>
          </cell>
          <cell r="F33">
            <v>68.75</v>
          </cell>
          <cell r="G33">
            <v>34.69</v>
          </cell>
          <cell r="H33">
            <v>3.73</v>
          </cell>
          <cell r="I33">
            <v>17.84</v>
          </cell>
          <cell r="J33">
            <v>190536</v>
          </cell>
          <cell r="L33">
            <v>137.91999999999999</v>
          </cell>
          <cell r="M33">
            <v>-1.0000000000019327E-2</v>
          </cell>
        </row>
        <row r="34">
          <cell r="A34">
            <v>13</v>
          </cell>
          <cell r="B34" t="str">
            <v>Basel-Landschaft</v>
          </cell>
          <cell r="C34" t="str">
            <v>2005/06</v>
          </cell>
          <cell r="D34">
            <v>340.42</v>
          </cell>
          <cell r="E34">
            <v>36.78</v>
          </cell>
          <cell r="F34">
            <v>173.72</v>
          </cell>
          <cell r="G34">
            <v>90.88</v>
          </cell>
          <cell r="H34">
            <v>15.39</v>
          </cell>
          <cell r="I34">
            <v>23.65</v>
          </cell>
          <cell r="J34">
            <v>265083</v>
          </cell>
          <cell r="L34">
            <v>340.41999999999996</v>
          </cell>
          <cell r="M34">
            <v>-5.6843418860808015E-14</v>
          </cell>
        </row>
        <row r="35">
          <cell r="A35">
            <v>14</v>
          </cell>
          <cell r="B35" t="str">
            <v>Schaffhausen</v>
          </cell>
          <cell r="C35" t="str">
            <v>...</v>
          </cell>
          <cell r="D35" t="str">
            <v>...</v>
          </cell>
          <cell r="E35" t="str">
            <v>...</v>
          </cell>
          <cell r="F35" t="str">
            <v>...</v>
          </cell>
          <cell r="G35" t="str">
            <v>...</v>
          </cell>
          <cell r="H35" t="str">
            <v>...</v>
          </cell>
          <cell r="I35" t="str">
            <v>...</v>
          </cell>
          <cell r="J35" t="str">
            <v>...</v>
          </cell>
          <cell r="L35" t="str">
            <v>...</v>
          </cell>
          <cell r="M35"/>
        </row>
        <row r="36">
          <cell r="A36">
            <v>15</v>
          </cell>
          <cell r="B36" t="str">
            <v>Appenzell Ausserrhoden</v>
          </cell>
          <cell r="C36" t="str">
            <v>...</v>
          </cell>
          <cell r="D36" t="str">
            <v>...</v>
          </cell>
          <cell r="E36" t="str">
            <v>...</v>
          </cell>
          <cell r="F36" t="str">
            <v>...</v>
          </cell>
          <cell r="G36" t="str">
            <v>...</v>
          </cell>
          <cell r="H36" t="str">
            <v>...</v>
          </cell>
          <cell r="I36" t="str">
            <v>...</v>
          </cell>
          <cell r="J36" t="str">
            <v>...</v>
          </cell>
          <cell r="L36" t="str">
            <v>...</v>
          </cell>
          <cell r="M36"/>
        </row>
        <row r="37">
          <cell r="A37">
            <v>16</v>
          </cell>
          <cell r="B37" t="str">
            <v>Appenzell Innerrhoden</v>
          </cell>
          <cell r="C37" t="str">
            <v>...</v>
          </cell>
          <cell r="D37" t="str">
            <v>...</v>
          </cell>
          <cell r="E37" t="str">
            <v>...</v>
          </cell>
          <cell r="F37" t="str">
            <v>...</v>
          </cell>
          <cell r="G37" t="str">
            <v>...</v>
          </cell>
          <cell r="H37" t="str">
            <v>...</v>
          </cell>
          <cell r="I37" t="str">
            <v>...</v>
          </cell>
          <cell r="J37" t="str">
            <v>...</v>
          </cell>
          <cell r="L37" t="str">
            <v>...</v>
          </cell>
          <cell r="M37"/>
        </row>
        <row r="38">
          <cell r="A38">
            <v>17</v>
          </cell>
          <cell r="B38" t="str">
            <v>St. Gallen</v>
          </cell>
          <cell r="C38" t="str">
            <v>...</v>
          </cell>
          <cell r="D38" t="str">
            <v>...</v>
          </cell>
          <cell r="E38" t="str">
            <v>...</v>
          </cell>
          <cell r="F38" t="str">
            <v>...</v>
          </cell>
          <cell r="G38" t="str">
            <v>...</v>
          </cell>
          <cell r="H38" t="str">
            <v>...</v>
          </cell>
          <cell r="I38" t="str">
            <v>...</v>
          </cell>
          <cell r="J38" t="str">
            <v>...</v>
          </cell>
          <cell r="L38" t="str">
            <v>...</v>
          </cell>
          <cell r="M38"/>
        </row>
        <row r="39">
          <cell r="A39">
            <v>18</v>
          </cell>
          <cell r="B39" t="str">
            <v>Graubünden</v>
          </cell>
          <cell r="C39" t="str">
            <v>...</v>
          </cell>
          <cell r="D39" t="str">
            <v>...</v>
          </cell>
          <cell r="E39" t="str">
            <v>...</v>
          </cell>
          <cell r="F39" t="str">
            <v>...</v>
          </cell>
          <cell r="G39" t="str">
            <v>...</v>
          </cell>
          <cell r="H39" t="str">
            <v>...</v>
          </cell>
          <cell r="I39" t="str">
            <v>...</v>
          </cell>
          <cell r="J39" t="str">
            <v>...</v>
          </cell>
          <cell r="L39" t="str">
            <v>...</v>
          </cell>
          <cell r="M39"/>
        </row>
        <row r="40">
          <cell r="A40">
            <v>19</v>
          </cell>
          <cell r="B40" t="str">
            <v>Aargau</v>
          </cell>
          <cell r="C40" t="str">
            <v>2006/07</v>
          </cell>
          <cell r="D40">
            <v>413.82</v>
          </cell>
          <cell r="E40">
            <v>42.07</v>
          </cell>
          <cell r="F40">
            <v>208.93</v>
          </cell>
          <cell r="G40">
            <v>117.37</v>
          </cell>
          <cell r="H40">
            <v>25.55</v>
          </cell>
          <cell r="I40">
            <v>19.899999999999999</v>
          </cell>
          <cell r="J40">
            <v>576457</v>
          </cell>
          <cell r="L40">
            <v>413.82</v>
          </cell>
          <cell r="M40">
            <v>0</v>
          </cell>
        </row>
        <row r="41">
          <cell r="A41">
            <v>20</v>
          </cell>
          <cell r="B41" t="str">
            <v>Thurgau</v>
          </cell>
          <cell r="C41" t="str">
            <v>...</v>
          </cell>
          <cell r="D41" t="str">
            <v>...</v>
          </cell>
          <cell r="E41" t="str">
            <v>...</v>
          </cell>
          <cell r="F41" t="str">
            <v>...</v>
          </cell>
          <cell r="G41" t="str">
            <v>...</v>
          </cell>
          <cell r="H41" t="str">
            <v>...</v>
          </cell>
          <cell r="I41" t="str">
            <v>...</v>
          </cell>
          <cell r="J41" t="str">
            <v>...</v>
          </cell>
          <cell r="L41" t="str">
            <v>...</v>
          </cell>
          <cell r="M41"/>
        </row>
        <row r="42">
          <cell r="A42">
            <v>21</v>
          </cell>
          <cell r="B42" t="str">
            <v>Ticino</v>
          </cell>
          <cell r="C42" t="str">
            <v>...</v>
          </cell>
          <cell r="D42" t="str">
            <v>...</v>
          </cell>
          <cell r="E42" t="str">
            <v>...</v>
          </cell>
          <cell r="F42" t="str">
            <v>...</v>
          </cell>
          <cell r="G42" t="str">
            <v>...</v>
          </cell>
          <cell r="H42" t="str">
            <v>...</v>
          </cell>
          <cell r="I42" t="str">
            <v>...</v>
          </cell>
          <cell r="J42" t="str">
            <v>...</v>
          </cell>
          <cell r="L42" t="str">
            <v>...</v>
          </cell>
          <cell r="M42"/>
        </row>
        <row r="43">
          <cell r="A43">
            <v>22</v>
          </cell>
          <cell r="B43" t="str">
            <v>Vaud</v>
          </cell>
          <cell r="C43" t="str">
            <v>2004/05</v>
          </cell>
          <cell r="D43">
            <v>454.97</v>
          </cell>
          <cell r="E43">
            <v>28.08</v>
          </cell>
          <cell r="F43">
            <v>218.5</v>
          </cell>
          <cell r="G43">
            <v>153.69</v>
          </cell>
          <cell r="H43">
            <v>21.99</v>
          </cell>
          <cell r="I43">
            <v>32.71</v>
          </cell>
          <cell r="J43">
            <v>658127</v>
          </cell>
          <cell r="L43">
            <v>454.96999999999997</v>
          </cell>
          <cell r="M43">
            <v>-5.6843418860808015E-14</v>
          </cell>
        </row>
        <row r="44">
          <cell r="A44">
            <v>23</v>
          </cell>
          <cell r="B44" t="str">
            <v>Valais</v>
          </cell>
          <cell r="C44" t="str">
            <v>...</v>
          </cell>
          <cell r="D44" t="str">
            <v>...</v>
          </cell>
          <cell r="E44" t="str">
            <v>...</v>
          </cell>
          <cell r="F44" t="str">
            <v>...</v>
          </cell>
          <cell r="G44" t="str">
            <v>...</v>
          </cell>
          <cell r="H44" t="str">
            <v>...</v>
          </cell>
          <cell r="I44" t="str">
            <v>...</v>
          </cell>
          <cell r="J44" t="str">
            <v>...</v>
          </cell>
          <cell r="L44" t="str">
            <v>...</v>
          </cell>
          <cell r="M44"/>
        </row>
        <row r="45">
          <cell r="A45">
            <v>24</v>
          </cell>
          <cell r="B45" t="str">
            <v>Neuchâtel</v>
          </cell>
          <cell r="C45" t="str">
            <v>2004/05</v>
          </cell>
          <cell r="D45">
            <v>397.33</v>
          </cell>
          <cell r="E45">
            <v>32.549999999999997</v>
          </cell>
          <cell r="F45">
            <v>188.32</v>
          </cell>
          <cell r="G45">
            <v>124.4</v>
          </cell>
          <cell r="H45">
            <v>22.59</v>
          </cell>
          <cell r="I45">
            <v>29.47</v>
          </cell>
          <cell r="J45">
            <v>168649</v>
          </cell>
          <cell r="L45">
            <v>397.32999999999993</v>
          </cell>
          <cell r="M45">
            <v>-5.6843418860808015E-14</v>
          </cell>
        </row>
        <row r="46">
          <cell r="A46">
            <v>25</v>
          </cell>
          <cell r="B46" t="str">
            <v>Genève</v>
          </cell>
          <cell r="C46">
            <v>2004</v>
          </cell>
          <cell r="D46">
            <v>217.82</v>
          </cell>
          <cell r="E46">
            <v>14.25</v>
          </cell>
          <cell r="F46">
            <v>119.36</v>
          </cell>
          <cell r="G46">
            <v>55.46</v>
          </cell>
          <cell r="H46">
            <v>9.1199999999999992</v>
          </cell>
          <cell r="I46">
            <v>19.64</v>
          </cell>
          <cell r="J46">
            <v>432235</v>
          </cell>
          <cell r="L46">
            <v>217.83000000000004</v>
          </cell>
          <cell r="M46">
            <v>1.0000000000047748E-2</v>
          </cell>
        </row>
        <row r="47">
          <cell r="A47">
            <v>26</v>
          </cell>
          <cell r="B47" t="str">
            <v>Jura</v>
          </cell>
          <cell r="C47">
            <v>2005</v>
          </cell>
          <cell r="D47">
            <v>826.98</v>
          </cell>
          <cell r="E47">
            <v>52.73</v>
          </cell>
          <cell r="F47">
            <v>382.04</v>
          </cell>
          <cell r="G47">
            <v>289.99</v>
          </cell>
          <cell r="H47">
            <v>65.540000000000006</v>
          </cell>
          <cell r="I47">
            <v>36.67</v>
          </cell>
          <cell r="J47">
            <v>67898</v>
          </cell>
          <cell r="L47">
            <v>826.96999999999991</v>
          </cell>
          <cell r="M47">
            <v>-1.0000000000104592E-2</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hyperlink" Target="https://prestations.vd.ch/pub/blv-publication/actes/consolide/133.05?key=1720013968335&amp;id=ddc5d535-ca80-4174-92ed-43c721ab7e6a" TargetMode="External"/><Relationship Id="rId2" Type="http://schemas.openxmlformats.org/officeDocument/2006/relationships/hyperlink" Target="https://prestations.vd.ch/pub/blv-publication/actes/consolide/850.01?key=1720013904503&amp;id=f297eb49-bbd1-467c-8406-c7b66e735f61" TargetMode="External"/><Relationship Id="rId1" Type="http://schemas.openxmlformats.org/officeDocument/2006/relationships/hyperlink" Target="https://prestations.vd.ch/pub/blv-publication/actes/consolide/175.51?key=1720013782994&amp;id=20d51e33-17a0-42b4-8736-48e5a8461eb3" TargetMode="External"/><Relationship Id="rId6" Type="http://schemas.openxmlformats.org/officeDocument/2006/relationships/printerSettings" Target="../printerSettings/printerSettings2.bin"/><Relationship Id="rId5" Type="http://schemas.openxmlformats.org/officeDocument/2006/relationships/hyperlink" Target="https://prestations.vd.ch/pub/blv-publication/actes/consolide/175.51.1?key=1743582841409&amp;id=2207a7e5-18a5-4fc5-a3f1-bae1f74e19ef" TargetMode="External"/><Relationship Id="rId4" Type="http://schemas.openxmlformats.org/officeDocument/2006/relationships/hyperlink" Target="https://prestations.vd.ch/pub/blv-publication/actes/consolide/175.575?key=1720014030263&amp;id=fced0a6a-7ef6-427e-afb3-3079fd1d731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6E4F5-0333-4B1C-B49D-237F9186EC02}">
  <sheetPr>
    <tabColor rgb="FFCCFFFF"/>
  </sheetPr>
  <dimension ref="B1:E21"/>
  <sheetViews>
    <sheetView tabSelected="1" zoomScaleNormal="100" workbookViewId="0"/>
  </sheetViews>
  <sheetFormatPr baseColWidth="10" defaultColWidth="12.5703125" defaultRowHeight="12.75" x14ac:dyDescent="0.2"/>
  <cols>
    <col min="1" max="1" width="12.5703125" style="86"/>
    <col min="2" max="2" width="41.42578125" style="87" customWidth="1"/>
    <col min="3" max="3" width="74" style="85" customWidth="1"/>
    <col min="4" max="16384" width="12.5703125" style="86"/>
  </cols>
  <sheetData>
    <row r="1" spans="2:5" ht="26.45" customHeight="1" x14ac:dyDescent="0.2">
      <c r="B1" s="94" t="s">
        <v>442</v>
      </c>
    </row>
    <row r="3" spans="2:5" ht="18.75" customHeight="1" x14ac:dyDescent="0.2">
      <c r="B3" s="445" t="s">
        <v>469</v>
      </c>
      <c r="C3" s="445"/>
    </row>
    <row r="4" spans="2:5" ht="22.5" customHeight="1" x14ac:dyDescent="0.2">
      <c r="B4" s="88" t="s">
        <v>397</v>
      </c>
      <c r="C4" s="348" t="s">
        <v>504</v>
      </c>
    </row>
    <row r="5" spans="2:5" ht="22.5" customHeight="1" x14ac:dyDescent="0.2">
      <c r="B5" s="89" t="s">
        <v>468</v>
      </c>
      <c r="C5" s="349" t="s">
        <v>505</v>
      </c>
    </row>
    <row r="6" spans="2:5" ht="22.5" customHeight="1" x14ac:dyDescent="0.25">
      <c r="B6" s="90" t="s">
        <v>65</v>
      </c>
      <c r="C6" s="350" t="s">
        <v>506</v>
      </c>
      <c r="E6"/>
    </row>
    <row r="7" spans="2:5" ht="12" customHeight="1" x14ac:dyDescent="0.2">
      <c r="C7" s="351"/>
    </row>
    <row r="8" spans="2:5" ht="18.75" customHeight="1" x14ac:dyDescent="0.2">
      <c r="B8" s="445" t="s">
        <v>477</v>
      </c>
      <c r="C8" s="445"/>
    </row>
    <row r="9" spans="2:5" ht="33.75" customHeight="1" x14ac:dyDescent="0.2">
      <c r="B9" s="91" t="s">
        <v>2</v>
      </c>
      <c r="C9" s="352" t="s">
        <v>526</v>
      </c>
    </row>
    <row r="10" spans="2:5" ht="33.75" customHeight="1" x14ac:dyDescent="0.2">
      <c r="B10" s="92" t="s">
        <v>32</v>
      </c>
      <c r="C10" s="353" t="s">
        <v>592</v>
      </c>
    </row>
    <row r="11" spans="2:5" ht="45" customHeight="1" x14ac:dyDescent="0.2">
      <c r="B11" s="93" t="s">
        <v>466</v>
      </c>
      <c r="C11" s="354" t="s">
        <v>555</v>
      </c>
    </row>
    <row r="12" spans="2:5" ht="12" customHeight="1" x14ac:dyDescent="0.2">
      <c r="C12" s="351"/>
    </row>
    <row r="13" spans="2:5" ht="18.75" customHeight="1" x14ac:dyDescent="0.2">
      <c r="B13" s="445" t="s">
        <v>444</v>
      </c>
      <c r="C13" s="445"/>
    </row>
    <row r="14" spans="2:5" ht="33.75" customHeight="1" x14ac:dyDescent="0.2">
      <c r="B14" s="215" t="s">
        <v>34</v>
      </c>
      <c r="C14" s="355" t="s">
        <v>507</v>
      </c>
    </row>
    <row r="15" spans="2:5" ht="33.75" customHeight="1" x14ac:dyDescent="0.2">
      <c r="B15" s="216" t="s">
        <v>33</v>
      </c>
      <c r="C15" s="355" t="s">
        <v>511</v>
      </c>
    </row>
    <row r="16" spans="2:5" ht="12" customHeight="1" x14ac:dyDescent="0.2">
      <c r="C16" s="351"/>
    </row>
    <row r="17" spans="2:3" ht="18.75" customHeight="1" x14ac:dyDescent="0.2">
      <c r="B17" s="446" t="s">
        <v>467</v>
      </c>
      <c r="C17" s="446"/>
    </row>
    <row r="18" spans="2:3" ht="22.5" customHeight="1" x14ac:dyDescent="0.2">
      <c r="B18" s="103" t="s">
        <v>452</v>
      </c>
      <c r="C18" s="356" t="s">
        <v>508</v>
      </c>
    </row>
    <row r="19" spans="2:3" ht="22.5" customHeight="1" x14ac:dyDescent="0.2">
      <c r="B19" s="103" t="s">
        <v>497</v>
      </c>
      <c r="C19" s="356" t="s">
        <v>509</v>
      </c>
    </row>
    <row r="20" spans="2:3" ht="22.5" customHeight="1" x14ac:dyDescent="0.2">
      <c r="B20" s="103" t="s">
        <v>486</v>
      </c>
      <c r="C20" s="356" t="s">
        <v>510</v>
      </c>
    </row>
    <row r="21" spans="2:3" ht="22.5" customHeight="1" x14ac:dyDescent="0.2">
      <c r="B21" s="423" t="s">
        <v>544</v>
      </c>
      <c r="C21" s="424" t="s">
        <v>554</v>
      </c>
    </row>
  </sheetData>
  <sheetProtection sheet="1" objects="1" scenarios="1"/>
  <mergeCells count="4">
    <mergeCell ref="B13:C13"/>
    <mergeCell ref="B8:C8"/>
    <mergeCell ref="B17:C17"/>
    <mergeCell ref="B3:C3"/>
  </mergeCells>
  <hyperlinks>
    <hyperlink ref="B4" location="Paramètres!A1" display="Paramètres" xr:uid="{7225B79D-73A7-45FF-B1C4-47A729987C0E}"/>
    <hyperlink ref="B19" location="'Synthèse par commune'!A1" display="Synthèse par commune" xr:uid="{3EAC0EFF-899A-4D62-8FCA-6C9CC8FCA8DE}"/>
    <hyperlink ref="B5" location="Données!A1" display="Données de base" xr:uid="{EAB7928F-8EAF-48F0-8B7D-2DE52615BDE9}"/>
    <hyperlink ref="B15" location="Police!A1" display="Facture policière" xr:uid="{035511D7-3C79-4122-959B-8C87FAD8B722}"/>
    <hyperlink ref="B18" location="Synthèse!A1" display="Synthèse" xr:uid="{D6743E6D-33E6-4F5B-9467-09FFF2009305}"/>
    <hyperlink ref="B14" location="PCS!A1" display="Participation à la cohésion sociale (PCS)" xr:uid="{AD8AD353-596B-4AFB-BB97-80FFB74640BF}"/>
    <hyperlink ref="B11" location="'Charges des villes'!A1" display="Compensation des charges des villes" xr:uid="{AE73A6AC-FAE0-4F36-8AB8-15B26B12EAF0}"/>
    <hyperlink ref="B10" location="'Besoins structurels'!A1" display="Péréquation des besoins structurels" xr:uid="{B28CC349-F12A-4822-B635-02102130FF14}"/>
    <hyperlink ref="B9" location="Ressources!A1" display="Péréquation des ressources" xr:uid="{37D6F3BA-E5AC-4B43-99C0-F520FE0202ED}"/>
    <hyperlink ref="B6" location="RFS!A1" display="Revenus fiscal standardisé (RFS)" xr:uid="{0ED946F9-C96D-444A-BFBE-78646A757013}"/>
    <hyperlink ref="B20" location="'Détail par commune'!A1" display="Détail par commune" xr:uid="{FD51FDA1-9341-407D-A99E-4F20E1F0017E}"/>
    <hyperlink ref="B21" location="'Données par commune'!A1" display="Données par commune" xr:uid="{2AD5ADD3-3A56-40DD-9C0E-F7630F054F4D}"/>
  </hyperlinks>
  <pageMargins left="0.25" right="0.25" top="0.75" bottom="0.75"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B7066-E65F-45AB-95F5-5337B953A6DD}">
  <sheetPr>
    <tabColor rgb="FFCCCCFF"/>
    <pageSetUpPr autoPageBreaks="0"/>
  </sheetPr>
  <dimension ref="A1:Z303"/>
  <sheetViews>
    <sheetView zoomScale="90" zoomScaleNormal="90" workbookViewId="0">
      <pane ySplit="7" topLeftCell="A8" activePane="bottomLeft" state="frozen"/>
      <selection pane="bottomLeft"/>
    </sheetView>
  </sheetViews>
  <sheetFormatPr baseColWidth="10" defaultRowHeight="15" x14ac:dyDescent="0.25"/>
  <cols>
    <col min="1" max="1" width="7.140625" style="1" customWidth="1"/>
    <col min="2" max="2" width="24.7109375" style="1" bestFit="1" customWidth="1"/>
    <col min="3" max="11" width="14.42578125" style="1" customWidth="1"/>
    <col min="12" max="12" width="12.5703125" style="1" customWidth="1"/>
    <col min="13" max="14" width="14.42578125" style="1" customWidth="1"/>
    <col min="15" max="19" width="4.28515625" style="1" customWidth="1"/>
    <col min="20" max="20" width="17.140625" style="1" customWidth="1"/>
    <col min="21" max="22" width="14.28515625" style="1" customWidth="1"/>
    <col min="23" max="23" width="14.85546875" style="1" bestFit="1" customWidth="1"/>
    <col min="24" max="16384" width="11.42578125" style="1"/>
  </cols>
  <sheetData>
    <row r="1" spans="1:26" s="4" customFormat="1" ht="26.25" x14ac:dyDescent="0.25">
      <c r="A1" s="8" t="s">
        <v>422</v>
      </c>
      <c r="C1" s="95" t="s">
        <v>441</v>
      </c>
      <c r="D1" s="97" t="s">
        <v>442</v>
      </c>
      <c r="E1" s="96" t="s">
        <v>443</v>
      </c>
      <c r="F1" s="97"/>
      <c r="G1" s="97"/>
    </row>
    <row r="2" spans="1:26" s="4" customFormat="1" ht="15" customHeight="1" x14ac:dyDescent="0.25">
      <c r="A2" s="48" t="str">
        <f>_xlfn.CONCAT(Paramètres!M5," ",Paramètres!N5)</f>
        <v>Décompte prévisionnel 2027</v>
      </c>
    </row>
    <row r="3" spans="1:26" s="4" customFormat="1" ht="15" customHeight="1" x14ac:dyDescent="0.25">
      <c r="A3" s="616"/>
      <c r="B3" s="616"/>
      <c r="C3" s="19"/>
    </row>
    <row r="4" spans="1:26" s="4" customFormat="1" ht="15" customHeight="1" x14ac:dyDescent="0.25">
      <c r="A4" s="616"/>
      <c r="B4" s="616"/>
      <c r="C4" s="19"/>
      <c r="D4" s="164"/>
      <c r="E4" s="164"/>
      <c r="F4" s="164"/>
      <c r="G4" s="164"/>
      <c r="H4" s="164"/>
      <c r="I4" s="164"/>
    </row>
    <row r="5" spans="1:26" s="4" customFormat="1" ht="15" customHeight="1" x14ac:dyDescent="0.25">
      <c r="A5" s="520" t="s">
        <v>0</v>
      </c>
      <c r="B5" s="520" t="s">
        <v>1</v>
      </c>
      <c r="C5" s="601" t="s">
        <v>448</v>
      </c>
      <c r="D5" s="602"/>
      <c r="E5" s="602"/>
      <c r="F5" s="603"/>
      <c r="G5" s="607" t="s">
        <v>449</v>
      </c>
      <c r="H5" s="608"/>
      <c r="I5" s="608"/>
      <c r="J5" s="609"/>
      <c r="K5" s="559" t="s">
        <v>450</v>
      </c>
      <c r="L5" s="560"/>
      <c r="M5" s="561"/>
      <c r="N5" s="82">
        <f>Paramètres!K16</f>
        <v>0.75</v>
      </c>
      <c r="P5" s="521" t="s">
        <v>445</v>
      </c>
      <c r="Q5" s="623" t="s">
        <v>446</v>
      </c>
      <c r="R5" s="625" t="s">
        <v>447</v>
      </c>
      <c r="S5" s="627" t="s">
        <v>482</v>
      </c>
      <c r="T5" s="619" t="s">
        <v>444</v>
      </c>
      <c r="U5" s="620"/>
      <c r="V5" s="179" t="s">
        <v>415</v>
      </c>
    </row>
    <row r="6" spans="1:26" s="4" customFormat="1" ht="15" customHeight="1" x14ac:dyDescent="0.25">
      <c r="A6" s="520"/>
      <c r="B6" s="520"/>
      <c r="C6" s="604"/>
      <c r="D6" s="605"/>
      <c r="E6" s="605"/>
      <c r="F6" s="606"/>
      <c r="G6" s="610"/>
      <c r="H6" s="611"/>
      <c r="I6" s="611"/>
      <c r="J6" s="612"/>
      <c r="K6" s="613"/>
      <c r="L6" s="614"/>
      <c r="M6" s="615"/>
      <c r="N6" s="617" t="s">
        <v>489</v>
      </c>
      <c r="O6" s="5"/>
      <c r="P6" s="522"/>
      <c r="Q6" s="624"/>
      <c r="R6" s="626"/>
      <c r="S6" s="628"/>
      <c r="T6" s="621"/>
      <c r="U6" s="622"/>
      <c r="V6" s="68" t="str">
        <f>IF(ROUND(V302,3)=ROUND(+Paramètres!K13+Paramètres!K12+Paramètres!C12+Paramètres!K6+Paramètres!C17+Police!T3,3),"OK","ERREUR")</f>
        <v>OK</v>
      </c>
    </row>
    <row r="7" spans="1:26" s="4" customFormat="1" ht="37.5" customHeight="1" x14ac:dyDescent="0.25">
      <c r="A7" s="520"/>
      <c r="B7" s="520"/>
      <c r="C7" s="187" t="s">
        <v>430</v>
      </c>
      <c r="D7" s="188" t="s">
        <v>11</v>
      </c>
      <c r="E7" s="188" t="s">
        <v>20</v>
      </c>
      <c r="F7" s="184" t="s">
        <v>21</v>
      </c>
      <c r="G7" s="185" t="s">
        <v>30</v>
      </c>
      <c r="H7" s="185" t="s">
        <v>480</v>
      </c>
      <c r="I7" s="185" t="s">
        <v>43</v>
      </c>
      <c r="J7" s="185" t="s">
        <v>21</v>
      </c>
      <c r="K7" s="186" t="s">
        <v>29</v>
      </c>
      <c r="L7" s="186" t="s">
        <v>419</v>
      </c>
      <c r="M7" s="186" t="s">
        <v>21</v>
      </c>
      <c r="N7" s="618"/>
      <c r="P7" s="629" t="s">
        <v>451</v>
      </c>
      <c r="Q7" s="630"/>
      <c r="R7" s="630"/>
      <c r="S7" s="631"/>
      <c r="T7" s="209" t="s">
        <v>398</v>
      </c>
      <c r="U7" s="217" t="s">
        <v>33</v>
      </c>
      <c r="V7" s="208" t="s">
        <v>21</v>
      </c>
    </row>
    <row r="8" spans="1:26" ht="15" customHeight="1" x14ac:dyDescent="0.25">
      <c r="A8" s="107">
        <f>Données!A8</f>
        <v>5401</v>
      </c>
      <c r="B8" s="115" t="str">
        <f>Données!B8</f>
        <v>Aigle</v>
      </c>
      <c r="C8" s="294">
        <f>Ressources!H8</f>
        <v>-17392546.908974826</v>
      </c>
      <c r="D8" s="294">
        <f>Ressources!L8</f>
        <v>-206296</v>
      </c>
      <c r="E8" s="330">
        <f>Ressources!T8</f>
        <v>-581237.37154883705</v>
      </c>
      <c r="F8" s="296">
        <f>SUM(C8:E8)</f>
        <v>-18180080.280523665</v>
      </c>
      <c r="G8" s="294">
        <f>'Besoins structurels'!I8</f>
        <v>0</v>
      </c>
      <c r="H8" s="294">
        <f>'Besoins structurels'!N8</f>
        <v>-1868</v>
      </c>
      <c r="I8" s="294">
        <f>'Besoins structurels'!V8</f>
        <v>0</v>
      </c>
      <c r="J8" s="298">
        <f>SUM(G8:I8)</f>
        <v>-1868</v>
      </c>
      <c r="K8" s="294">
        <f>'Charges des villes'!N8</f>
        <v>280009.08568485919</v>
      </c>
      <c r="L8" s="294">
        <f>'Charges des villes'!U8</f>
        <v>231755.86702800763</v>
      </c>
      <c r="M8" s="297">
        <f>SUM(K8:L8)</f>
        <v>511764.95271286683</v>
      </c>
      <c r="N8" s="296">
        <f>-VLOOKUP(A8,Paramètres!$B$23:$C$316,2,FALSE)*$N$5</f>
        <v>0</v>
      </c>
      <c r="O8" s="319"/>
      <c r="P8" s="598">
        <f>F8+J8+M8+N8</f>
        <v>-17670183.327810798</v>
      </c>
      <c r="Q8" s="599"/>
      <c r="R8" s="599"/>
      <c r="S8" s="600"/>
      <c r="T8" s="305">
        <f>PCS!D8</f>
        <v>12043458.045002118</v>
      </c>
      <c r="U8" s="300">
        <f>Police!U8</f>
        <v>374358.54801429255</v>
      </c>
      <c r="V8" s="331">
        <f>P8+T8+U8</f>
        <v>-5252366.7347943876</v>
      </c>
      <c r="W8" s="177"/>
      <c r="X8" s="177"/>
      <c r="Y8" s="177"/>
      <c r="Z8" s="15"/>
    </row>
    <row r="9" spans="1:26" ht="15" customHeight="1" x14ac:dyDescent="0.25">
      <c r="A9" s="108">
        <f>Données!A9</f>
        <v>5402</v>
      </c>
      <c r="B9" s="116" t="str">
        <f>Données!B9</f>
        <v>Bex</v>
      </c>
      <c r="C9" s="304">
        <f>Ressources!H9</f>
        <v>-13407542.094891392</v>
      </c>
      <c r="D9" s="304">
        <f>Ressources!L9</f>
        <v>-292731</v>
      </c>
      <c r="E9" s="332">
        <f>Ressources!T9</f>
        <v>-488965.83621556754</v>
      </c>
      <c r="F9" s="305">
        <f t="shared" ref="F9:F70" si="0">SUM(C9:E9)</f>
        <v>-14189238.931106959</v>
      </c>
      <c r="G9" s="304">
        <f>'Besoins structurels'!I9</f>
        <v>0</v>
      </c>
      <c r="H9" s="304">
        <f>'Besoins structurels'!N9</f>
        <v>-212415</v>
      </c>
      <c r="I9" s="304">
        <f>'Besoins structurels'!V9</f>
        <v>0</v>
      </c>
      <c r="J9" s="306">
        <f t="shared" ref="J9:J70" si="1">SUM(G9:I9)</f>
        <v>-212415</v>
      </c>
      <c r="K9" s="304">
        <f>'Charges des villes'!N9</f>
        <v>524278.68846039567</v>
      </c>
      <c r="L9" s="304">
        <f>'Charges des villes'!U9</f>
        <v>434454.11057784228</v>
      </c>
      <c r="M9" s="299">
        <f t="shared" ref="M9:M70" si="2">SUM(K9:L9)</f>
        <v>958732.79903823789</v>
      </c>
      <c r="N9" s="305">
        <f>-VLOOKUP(A9,Paramètres!$B$23:$C$316,2,FALSE)*$N$5</f>
        <v>-110625</v>
      </c>
      <c r="O9" s="319"/>
      <c r="P9" s="598">
        <f t="shared" ref="P9:P70" si="3">F9+J9+M9+N9</f>
        <v>-13553546.13206872</v>
      </c>
      <c r="Q9" s="599"/>
      <c r="R9" s="599"/>
      <c r="S9" s="600"/>
      <c r="T9" s="305">
        <f>PCS!D9</f>
        <v>8895271.5946986079</v>
      </c>
      <c r="U9" s="300">
        <f>Police!U9</f>
        <v>276500.39929902594</v>
      </c>
      <c r="V9" s="333">
        <f t="shared" ref="V9:V70" si="4">P9+T9+U9</f>
        <v>-4381774.1380710863</v>
      </c>
      <c r="W9" s="177"/>
      <c r="X9" s="177"/>
      <c r="Y9" s="177"/>
      <c r="Z9" s="15"/>
    </row>
    <row r="10" spans="1:26" x14ac:dyDescent="0.25">
      <c r="A10" s="108">
        <f>Données!A10</f>
        <v>5403</v>
      </c>
      <c r="B10" s="116" t="str">
        <f>Données!B10</f>
        <v>Chessel</v>
      </c>
      <c r="C10" s="304">
        <f>Ressources!H10</f>
        <v>-668162.63777825341</v>
      </c>
      <c r="D10" s="304">
        <f>Ressources!L10</f>
        <v>0</v>
      </c>
      <c r="E10" s="332">
        <f>Ressources!T10</f>
        <v>-72947.172435074855</v>
      </c>
      <c r="F10" s="305">
        <f t="shared" si="0"/>
        <v>-741109.81021332822</v>
      </c>
      <c r="G10" s="304">
        <f>'Besoins structurels'!I10</f>
        <v>0</v>
      </c>
      <c r="H10" s="304">
        <f>'Besoins structurels'!N10</f>
        <v>0</v>
      </c>
      <c r="I10" s="304">
        <f>'Besoins structurels'!V10</f>
        <v>-39335</v>
      </c>
      <c r="J10" s="306">
        <f t="shared" si="1"/>
        <v>-39335</v>
      </c>
      <c r="K10" s="304">
        <f>'Charges des villes'!N10</f>
        <v>245465.91310086043</v>
      </c>
      <c r="L10" s="304">
        <f>'Charges des villes'!U10</f>
        <v>53107.283767047767</v>
      </c>
      <c r="M10" s="299">
        <f t="shared" si="2"/>
        <v>298573.19686790818</v>
      </c>
      <c r="N10" s="305">
        <f>-VLOOKUP(A10,Paramètres!$B$23:$C$316,2,FALSE)*$N$5</f>
        <v>0</v>
      </c>
      <c r="O10" s="319"/>
      <c r="P10" s="598">
        <f t="shared" si="3"/>
        <v>-481871.61334542005</v>
      </c>
      <c r="Q10" s="599"/>
      <c r="R10" s="599"/>
      <c r="S10" s="600"/>
      <c r="T10" s="305">
        <f>PCS!D10</f>
        <v>523368.55174456676</v>
      </c>
      <c r="U10" s="300">
        <f>Police!U10</f>
        <v>78253.861639166484</v>
      </c>
      <c r="V10" s="333">
        <f t="shared" si="4"/>
        <v>119750.8000383132</v>
      </c>
      <c r="W10" s="177"/>
      <c r="X10" s="177"/>
      <c r="Y10" s="177"/>
      <c r="Z10" s="15"/>
    </row>
    <row r="11" spans="1:26" x14ac:dyDescent="0.25">
      <c r="A11" s="108">
        <f>Données!A11</f>
        <v>5404</v>
      </c>
      <c r="B11" s="116" t="str">
        <f>Données!B11</f>
        <v>Corbeyrier</v>
      </c>
      <c r="C11" s="304">
        <f>Ressources!H11</f>
        <v>-590936.18162569951</v>
      </c>
      <c r="D11" s="304">
        <f>Ressources!L11</f>
        <v>0</v>
      </c>
      <c r="E11" s="332">
        <f>Ressources!T11</f>
        <v>2056.4837992492685</v>
      </c>
      <c r="F11" s="305">
        <f t="shared" si="0"/>
        <v>-588879.69782645022</v>
      </c>
      <c r="G11" s="304">
        <f>'Besoins structurels'!I11</f>
        <v>-183369</v>
      </c>
      <c r="H11" s="304">
        <f>'Besoins structurels'!N11</f>
        <v>-174157</v>
      </c>
      <c r="I11" s="304">
        <f>'Besoins structurels'!V11</f>
        <v>0</v>
      </c>
      <c r="J11" s="306">
        <f t="shared" si="1"/>
        <v>-357526</v>
      </c>
      <c r="K11" s="304">
        <f>'Charges des villes'!N11</f>
        <v>213204.67880760453</v>
      </c>
      <c r="L11" s="304">
        <f>'Charges des villes'!U11</f>
        <v>46127.469329092914</v>
      </c>
      <c r="M11" s="299">
        <f t="shared" si="2"/>
        <v>259332.14813669745</v>
      </c>
      <c r="N11" s="305">
        <f>-VLOOKUP(A11,Paramètres!$B$23:$C$316,2,FALSE)*$N$5</f>
        <v>0</v>
      </c>
      <c r="O11" s="319"/>
      <c r="P11" s="598">
        <f t="shared" si="3"/>
        <v>-687073.54968975275</v>
      </c>
      <c r="Q11" s="599"/>
      <c r="R11" s="599"/>
      <c r="S11" s="600"/>
      <c r="T11" s="305">
        <f>PCS!D11</f>
        <v>454582.97065813799</v>
      </c>
      <c r="U11" s="300">
        <f>Police!U11</f>
        <v>67969.068395161754</v>
      </c>
      <c r="V11" s="333">
        <f t="shared" si="4"/>
        <v>-164521.51063645299</v>
      </c>
      <c r="W11" s="177"/>
      <c r="X11" s="177"/>
      <c r="Y11" s="177"/>
      <c r="Z11" s="15"/>
    </row>
    <row r="12" spans="1:26" x14ac:dyDescent="0.25">
      <c r="A12" s="108">
        <f>Données!A12</f>
        <v>5405</v>
      </c>
      <c r="B12" s="116" t="str">
        <f>Données!B12</f>
        <v>Gryon</v>
      </c>
      <c r="C12" s="304">
        <f>Ressources!H12</f>
        <v>339919.2144370582</v>
      </c>
      <c r="D12" s="304">
        <f>Ressources!L12</f>
        <v>0</v>
      </c>
      <c r="E12" s="332">
        <f>Ressources!T12</f>
        <v>170152.01531499869</v>
      </c>
      <c r="F12" s="305">
        <f t="shared" si="0"/>
        <v>510071.22975205688</v>
      </c>
      <c r="G12" s="304">
        <f>'Besoins structurels'!I12</f>
        <v>-26124</v>
      </c>
      <c r="H12" s="304">
        <f>'Besoins structurels'!N12</f>
        <v>-555505</v>
      </c>
      <c r="I12" s="304">
        <f>'Besoins structurels'!V12</f>
        <v>0</v>
      </c>
      <c r="J12" s="306">
        <f t="shared" si="1"/>
        <v>-581629</v>
      </c>
      <c r="K12" s="304">
        <f>'Charges des villes'!N12</f>
        <v>591482.73509890912</v>
      </c>
      <c r="L12" s="304">
        <f>'Charges des villes'!U12</f>
        <v>34179.706102582582</v>
      </c>
      <c r="M12" s="299">
        <f t="shared" si="2"/>
        <v>625662.44120149175</v>
      </c>
      <c r="N12" s="305">
        <f>-VLOOKUP(A12,Paramètres!$B$23:$C$316,2,FALSE)*$N$5</f>
        <v>-96600</v>
      </c>
      <c r="O12" s="319"/>
      <c r="P12" s="598">
        <f t="shared" si="3"/>
        <v>457504.67095354863</v>
      </c>
      <c r="Q12" s="599"/>
      <c r="R12" s="599"/>
      <c r="S12" s="600"/>
      <c r="T12" s="305">
        <f>PCS!D12</f>
        <v>1541195.77332781</v>
      </c>
      <c r="U12" s="300">
        <f>Police!U12</f>
        <v>244137.00978017558</v>
      </c>
      <c r="V12" s="333">
        <f t="shared" si="4"/>
        <v>2242837.4540615343</v>
      </c>
      <c r="W12" s="177"/>
      <c r="X12" s="177"/>
      <c r="Y12" s="177"/>
      <c r="Z12" s="15"/>
    </row>
    <row r="13" spans="1:26" x14ac:dyDescent="0.25">
      <c r="A13" s="108">
        <f>Données!A13</f>
        <v>5406</v>
      </c>
      <c r="B13" s="116" t="str">
        <f>Données!B13</f>
        <v>Lavey-Morcles</v>
      </c>
      <c r="C13" s="304">
        <f>Ressources!H13</f>
        <v>-1524428.8423130028</v>
      </c>
      <c r="D13" s="304">
        <f>Ressources!L13</f>
        <v>-30040</v>
      </c>
      <c r="E13" s="332">
        <f>Ressources!T13</f>
        <v>-87982.677520984114</v>
      </c>
      <c r="F13" s="305">
        <f t="shared" si="0"/>
        <v>-1642451.5198339869</v>
      </c>
      <c r="G13" s="304">
        <f>'Besoins structurels'!I13</f>
        <v>-51204</v>
      </c>
      <c r="H13" s="304">
        <f>'Besoins structurels'!N13</f>
        <v>-12159</v>
      </c>
      <c r="I13" s="304">
        <f>'Besoins structurels'!V13</f>
        <v>-22604</v>
      </c>
      <c r="J13" s="306">
        <f t="shared" si="1"/>
        <v>-85967</v>
      </c>
      <c r="K13" s="304">
        <f>'Charges des villes'!N13</f>
        <v>473001.53183636989</v>
      </c>
      <c r="L13" s="304">
        <f>'Charges des villes'!U13</f>
        <v>103584.49252848935</v>
      </c>
      <c r="M13" s="299">
        <f t="shared" si="2"/>
        <v>576586.02436485921</v>
      </c>
      <c r="N13" s="305">
        <f>-VLOOKUP(A13,Paramètres!$B$23:$C$316,2,FALSE)*$N$5</f>
        <v>0</v>
      </c>
      <c r="O13" s="319"/>
      <c r="P13" s="598">
        <f t="shared" si="3"/>
        <v>-1151832.4954691278</v>
      </c>
      <c r="Q13" s="599"/>
      <c r="R13" s="599"/>
      <c r="S13" s="600"/>
      <c r="T13" s="305">
        <f>PCS!D13</f>
        <v>1020817.8990217836</v>
      </c>
      <c r="U13" s="300">
        <f>Police!U13</f>
        <v>153234.40467076615</v>
      </c>
      <c r="V13" s="333">
        <f t="shared" si="4"/>
        <v>22219.808223421976</v>
      </c>
      <c r="W13" s="177"/>
      <c r="X13" s="177"/>
      <c r="Y13" s="177"/>
      <c r="Z13" s="15"/>
    </row>
    <row r="14" spans="1:26" ht="15" customHeight="1" x14ac:dyDescent="0.25">
      <c r="A14" s="108">
        <f>Données!A14</f>
        <v>5407</v>
      </c>
      <c r="B14" s="116" t="str">
        <f>Données!B14</f>
        <v>Leysin</v>
      </c>
      <c r="C14" s="304">
        <f>Ressources!H14</f>
        <v>-4864929.638736384</v>
      </c>
      <c r="D14" s="304">
        <f>Ressources!L14</f>
        <v>0</v>
      </c>
      <c r="E14" s="332">
        <f>Ressources!T14</f>
        <v>-179862.80129209254</v>
      </c>
      <c r="F14" s="305">
        <f t="shared" si="0"/>
        <v>-5044792.4400284765</v>
      </c>
      <c r="G14" s="304">
        <f>'Besoins structurels'!I14</f>
        <v>0</v>
      </c>
      <c r="H14" s="304">
        <f>'Besoins structurels'!N14</f>
        <v>-1536564</v>
      </c>
      <c r="I14" s="304">
        <f>'Besoins structurels'!V14</f>
        <v>0</v>
      </c>
      <c r="J14" s="306">
        <f t="shared" si="1"/>
        <v>-1536564</v>
      </c>
      <c r="K14" s="304">
        <f>'Charges des villes'!N14</f>
        <v>873084.11092379643</v>
      </c>
      <c r="L14" s="304">
        <f>'Charges des villes'!U14</f>
        <v>376505.35272562242</v>
      </c>
      <c r="M14" s="299">
        <f t="shared" si="2"/>
        <v>1249589.4636494189</v>
      </c>
      <c r="N14" s="305">
        <f>-VLOOKUP(A14,Paramètres!$B$23:$C$316,2,FALSE)*$N$5</f>
        <v>-306600</v>
      </c>
      <c r="O14" s="319"/>
      <c r="P14" s="598">
        <f t="shared" si="3"/>
        <v>-5638366.9763790574</v>
      </c>
      <c r="Q14" s="599"/>
      <c r="R14" s="599"/>
      <c r="S14" s="600"/>
      <c r="T14" s="305">
        <f>PCS!D14</f>
        <v>3710433.8087491002</v>
      </c>
      <c r="U14" s="300">
        <f>Police!U14</f>
        <v>632128.75623280206</v>
      </c>
      <c r="V14" s="333">
        <f t="shared" si="4"/>
        <v>-1295804.4113971551</v>
      </c>
      <c r="W14" s="177"/>
      <c r="X14" s="177"/>
      <c r="Y14" s="177"/>
      <c r="Z14" s="15"/>
    </row>
    <row r="15" spans="1:26" ht="15" customHeight="1" x14ac:dyDescent="0.25">
      <c r="A15" s="108">
        <f>Données!A15</f>
        <v>5408</v>
      </c>
      <c r="B15" s="116" t="str">
        <f>Données!B15</f>
        <v>Noville</v>
      </c>
      <c r="C15" s="304">
        <f>Ressources!H15</f>
        <v>-829706.93040667684</v>
      </c>
      <c r="D15" s="304">
        <f>Ressources!L15</f>
        <v>0</v>
      </c>
      <c r="E15" s="332">
        <f>Ressources!T15</f>
        <v>-37715.58968796354</v>
      </c>
      <c r="F15" s="305">
        <f t="shared" si="0"/>
        <v>-867422.52009464032</v>
      </c>
      <c r="G15" s="304">
        <f>'Besoins structurels'!I15</f>
        <v>0</v>
      </c>
      <c r="H15" s="304">
        <f>'Besoins structurels'!N15</f>
        <v>0</v>
      </c>
      <c r="I15" s="304">
        <f>'Besoins structurels'!V15</f>
        <v>-8159</v>
      </c>
      <c r="J15" s="306">
        <f t="shared" si="1"/>
        <v>-8159</v>
      </c>
      <c r="K15" s="304">
        <f>'Charges des villes'!N15</f>
        <v>516126.87402005272</v>
      </c>
      <c r="L15" s="304">
        <f>'Charges des villes'!U15</f>
        <v>122804.27141561141</v>
      </c>
      <c r="M15" s="299">
        <f t="shared" si="2"/>
        <v>638931.1454356641</v>
      </c>
      <c r="N15" s="305">
        <f>-VLOOKUP(A15,Paramètres!$B$23:$C$316,2,FALSE)*$N$5</f>
        <v>-18675</v>
      </c>
      <c r="O15" s="319"/>
      <c r="P15" s="598">
        <f t="shared" si="3"/>
        <v>-255325.37465897622</v>
      </c>
      <c r="Q15" s="599"/>
      <c r="R15" s="599"/>
      <c r="S15" s="600"/>
      <c r="T15" s="305">
        <f>PCS!D15</f>
        <v>1210227.4701293411</v>
      </c>
      <c r="U15" s="300">
        <f>Police!U15</f>
        <v>186321.55978721785</v>
      </c>
      <c r="V15" s="333">
        <f t="shared" si="4"/>
        <v>1141223.6552575827</v>
      </c>
      <c r="W15" s="177"/>
      <c r="X15" s="177"/>
      <c r="Y15" s="177"/>
      <c r="Z15" s="15"/>
    </row>
    <row r="16" spans="1:26" x14ac:dyDescent="0.25">
      <c r="A16" s="108">
        <f>Données!A16</f>
        <v>5409</v>
      </c>
      <c r="B16" s="116" t="str">
        <f>Données!B16</f>
        <v>Ollon</v>
      </c>
      <c r="C16" s="304">
        <f>Ressources!H16</f>
        <v>-64255.753852190581</v>
      </c>
      <c r="D16" s="304">
        <f>Ressources!L16</f>
        <v>0</v>
      </c>
      <c r="E16" s="332">
        <f>Ressources!T16</f>
        <v>1231207.5798933497</v>
      </c>
      <c r="F16" s="305">
        <f t="shared" si="0"/>
        <v>1166951.826041159</v>
      </c>
      <c r="G16" s="304">
        <f>'Besoins structurels'!I16</f>
        <v>0</v>
      </c>
      <c r="H16" s="304">
        <f>'Besoins structurels'!N16</f>
        <v>-1297298</v>
      </c>
      <c r="I16" s="304">
        <f>'Besoins structurels'!V16</f>
        <v>0</v>
      </c>
      <c r="J16" s="306">
        <f t="shared" si="1"/>
        <v>-1297298</v>
      </c>
      <c r="K16" s="304">
        <f>'Charges des villes'!N16</f>
        <v>565926.09614156745</v>
      </c>
      <c r="L16" s="304">
        <f>'Charges des villes'!U16</f>
        <v>195622.78063624864</v>
      </c>
      <c r="M16" s="299">
        <f t="shared" si="2"/>
        <v>761548.8767778161</v>
      </c>
      <c r="N16" s="305">
        <f>-VLOOKUP(A16,Paramètres!$B$23:$C$316,2,FALSE)*$N$5</f>
        <v>0</v>
      </c>
      <c r="O16" s="319"/>
      <c r="P16" s="598">
        <f t="shared" si="3"/>
        <v>631202.70281897509</v>
      </c>
      <c r="Q16" s="599"/>
      <c r="R16" s="599"/>
      <c r="S16" s="600"/>
      <c r="T16" s="305">
        <f>PCS!D16</f>
        <v>8276201.3649207493</v>
      </c>
      <c r="U16" s="300">
        <f>Police!U16</f>
        <v>257257.2357929523</v>
      </c>
      <c r="V16" s="333">
        <f t="shared" si="4"/>
        <v>9164661.3035326768</v>
      </c>
      <c r="W16" s="177"/>
      <c r="X16" s="177"/>
      <c r="Y16" s="177"/>
      <c r="Z16" s="15"/>
    </row>
    <row r="17" spans="1:26" x14ac:dyDescent="0.25">
      <c r="A17" s="108">
        <f>Données!A17</f>
        <v>5410</v>
      </c>
      <c r="B17" s="116" t="str">
        <f>Données!B17</f>
        <v>Ormont-Dessous</v>
      </c>
      <c r="C17" s="304">
        <f>Ressources!H17</f>
        <v>-1228609.7026457631</v>
      </c>
      <c r="D17" s="304">
        <f>Ressources!L17</f>
        <v>0</v>
      </c>
      <c r="E17" s="332">
        <f>Ressources!T17</f>
        <v>44439.306065467797</v>
      </c>
      <c r="F17" s="305">
        <f t="shared" si="0"/>
        <v>-1184170.3965802952</v>
      </c>
      <c r="G17" s="304">
        <f>'Besoins structurels'!I17</f>
        <v>-506082</v>
      </c>
      <c r="H17" s="304">
        <f>'Besoins structurels'!N17</f>
        <v>-461998</v>
      </c>
      <c r="I17" s="304">
        <f>'Besoins structurels'!V17</f>
        <v>0</v>
      </c>
      <c r="J17" s="306">
        <f t="shared" si="1"/>
        <v>-968080</v>
      </c>
      <c r="K17" s="304">
        <f>'Charges des villes'!N17</f>
        <v>526794.72182338487</v>
      </c>
      <c r="L17" s="304">
        <f>'Charges des villes'!U17</f>
        <v>127558.63777189949</v>
      </c>
      <c r="M17" s="299">
        <f t="shared" si="2"/>
        <v>654353.35959528433</v>
      </c>
      <c r="N17" s="305">
        <f>-VLOOKUP(A17,Paramètres!$B$23:$C$316,2,FALSE)*$N$5</f>
        <v>0</v>
      </c>
      <c r="O17" s="319"/>
      <c r="P17" s="598">
        <f t="shared" si="3"/>
        <v>-1497897.0369850108</v>
      </c>
      <c r="Q17" s="599"/>
      <c r="R17" s="599"/>
      <c r="S17" s="600"/>
      <c r="T17" s="305">
        <f>PCS!D17</f>
        <v>1257081.4166664737</v>
      </c>
      <c r="U17" s="300">
        <f>Police!U17</f>
        <v>194506.27710549801</v>
      </c>
      <c r="V17" s="333">
        <f t="shared" si="4"/>
        <v>-46309.343213039101</v>
      </c>
      <c r="W17" s="177"/>
      <c r="X17" s="177"/>
      <c r="Y17" s="177"/>
      <c r="Z17" s="15"/>
    </row>
    <row r="18" spans="1:26" x14ac:dyDescent="0.25">
      <c r="A18" s="108">
        <f>Données!A18</f>
        <v>5411</v>
      </c>
      <c r="B18" s="116" t="str">
        <f>Données!B18</f>
        <v>Ormont-Dessus</v>
      </c>
      <c r="C18" s="304">
        <f>Ressources!H18</f>
        <v>649161.44047785306</v>
      </c>
      <c r="D18" s="304">
        <f>Ressources!L18</f>
        <v>0</v>
      </c>
      <c r="E18" s="332">
        <f>Ressources!T18</f>
        <v>290024.18989236618</v>
      </c>
      <c r="F18" s="305">
        <f t="shared" si="0"/>
        <v>939185.63037021924</v>
      </c>
      <c r="G18" s="304">
        <f>'Besoins structurels'!I18</f>
        <v>-347271</v>
      </c>
      <c r="H18" s="304">
        <f>'Besoins structurels'!N18</f>
        <v>-615650</v>
      </c>
      <c r="I18" s="304">
        <f>'Besoins structurels'!V18</f>
        <v>0</v>
      </c>
      <c r="J18" s="306">
        <f t="shared" si="1"/>
        <v>-962921</v>
      </c>
      <c r="K18" s="304">
        <f>'Charges des villes'!N18</f>
        <v>567423.33367011766</v>
      </c>
      <c r="L18" s="304">
        <f>'Charges des villes'!U18</f>
        <v>145665.69261818816</v>
      </c>
      <c r="M18" s="299">
        <f t="shared" si="2"/>
        <v>713089.02628830587</v>
      </c>
      <c r="N18" s="305">
        <f>-VLOOKUP(A18,Paramètres!$B$23:$C$316,2,FALSE)*$N$5</f>
        <v>0</v>
      </c>
      <c r="O18" s="319"/>
      <c r="P18" s="598">
        <f t="shared" si="3"/>
        <v>689353.65665852511</v>
      </c>
      <c r="Q18" s="599"/>
      <c r="R18" s="599"/>
      <c r="S18" s="600"/>
      <c r="T18" s="305">
        <f>PCS!D18</f>
        <v>1435525.1704993832</v>
      </c>
      <c r="U18" s="300">
        <f>Police!U18</f>
        <v>225677.8600836288</v>
      </c>
      <c r="V18" s="333">
        <f t="shared" si="4"/>
        <v>2350556.687241537</v>
      </c>
      <c r="W18" s="177"/>
      <c r="X18" s="177"/>
      <c r="Y18" s="177"/>
      <c r="Z18" s="15"/>
    </row>
    <row r="19" spans="1:26" x14ac:dyDescent="0.25">
      <c r="A19" s="108">
        <f>Données!A19</f>
        <v>5412</v>
      </c>
      <c r="B19" s="116" t="str">
        <f>Données!B19</f>
        <v>Rennaz</v>
      </c>
      <c r="C19" s="304">
        <f>Ressources!H19</f>
        <v>-994601.14896860428</v>
      </c>
      <c r="D19" s="304">
        <f>Ressources!L19</f>
        <v>0</v>
      </c>
      <c r="E19" s="332">
        <f>Ressources!T19</f>
        <v>398674.80552039051</v>
      </c>
      <c r="F19" s="305">
        <f t="shared" si="0"/>
        <v>-595926.34344821377</v>
      </c>
      <c r="G19" s="304">
        <f>'Besoins structurels'!I19</f>
        <v>0</v>
      </c>
      <c r="H19" s="304">
        <f>'Besoins structurels'!N19</f>
        <v>0</v>
      </c>
      <c r="I19" s="304">
        <f>'Besoins structurels'!V19</f>
        <v>-19274</v>
      </c>
      <c r="J19" s="306">
        <f t="shared" si="1"/>
        <v>-19274</v>
      </c>
      <c r="K19" s="304">
        <f>'Charges des villes'!N19</f>
        <v>437163.1023796277</v>
      </c>
      <c r="L19" s="304">
        <f>'Charges des villes'!U19</f>
        <v>94581.543470837452</v>
      </c>
      <c r="M19" s="299">
        <f t="shared" si="2"/>
        <v>531744.64585046517</v>
      </c>
      <c r="N19" s="305">
        <f>-VLOOKUP(A19,Paramètres!$B$23:$C$316,2,FALSE)*$N$5</f>
        <v>0</v>
      </c>
      <c r="O19" s="319"/>
      <c r="P19" s="598">
        <f t="shared" si="3"/>
        <v>-83455.6975977486</v>
      </c>
      <c r="Q19" s="599"/>
      <c r="R19" s="599"/>
      <c r="S19" s="600"/>
      <c r="T19" s="305">
        <f>PCS!D19</f>
        <v>932094.46834508562</v>
      </c>
      <c r="U19" s="300">
        <f>Police!U19</f>
        <v>139366.40120499174</v>
      </c>
      <c r="V19" s="333">
        <f t="shared" si="4"/>
        <v>988005.17195232876</v>
      </c>
      <c r="W19" s="177"/>
      <c r="X19" s="177"/>
      <c r="Y19" s="177"/>
      <c r="Z19" s="15"/>
    </row>
    <row r="20" spans="1:26" ht="15" customHeight="1" x14ac:dyDescent="0.25">
      <c r="A20" s="108">
        <f>Données!A20</f>
        <v>5413</v>
      </c>
      <c r="B20" s="116" t="str">
        <f>Données!B20</f>
        <v>Roche</v>
      </c>
      <c r="C20" s="304">
        <f>Ressources!H20</f>
        <v>-3108546.0078291297</v>
      </c>
      <c r="D20" s="304">
        <f>Ressources!L20</f>
        <v>-79459</v>
      </c>
      <c r="E20" s="332">
        <f>Ressources!T20</f>
        <v>23797.66613261454</v>
      </c>
      <c r="F20" s="305">
        <f t="shared" si="0"/>
        <v>-3164207.3416965152</v>
      </c>
      <c r="G20" s="304">
        <f>'Besoins structurels'!I20</f>
        <v>0</v>
      </c>
      <c r="H20" s="304">
        <f>'Besoins structurels'!N20</f>
        <v>0</v>
      </c>
      <c r="I20" s="304">
        <f>'Besoins structurels'!V20</f>
        <v>-174245</v>
      </c>
      <c r="J20" s="306">
        <f t="shared" si="1"/>
        <v>-174245</v>
      </c>
      <c r="K20" s="304">
        <f>'Charges des villes'!N20</f>
        <v>702473.74735059822</v>
      </c>
      <c r="L20" s="304">
        <f>'Charges des villes'!U20</f>
        <v>205853.94755417563</v>
      </c>
      <c r="M20" s="299">
        <f t="shared" si="2"/>
        <v>908327.69490477385</v>
      </c>
      <c r="N20" s="305">
        <f>-VLOOKUP(A20,Paramètres!$B$23:$C$316,2,FALSE)*$N$5</f>
        <v>0</v>
      </c>
      <c r="O20" s="319"/>
      <c r="P20" s="598">
        <f t="shared" si="3"/>
        <v>-2430124.6467917413</v>
      </c>
      <c r="Q20" s="599"/>
      <c r="R20" s="599"/>
      <c r="S20" s="600"/>
      <c r="T20" s="305">
        <f>PCS!D20</f>
        <v>2028676.1958098921</v>
      </c>
      <c r="U20" s="300">
        <f>Police!U20</f>
        <v>329292.89847462228</v>
      </c>
      <c r="V20" s="333">
        <f t="shared" si="4"/>
        <v>-72155.552507226821</v>
      </c>
      <c r="W20" s="177"/>
      <c r="X20" s="177"/>
      <c r="Y20" s="177"/>
      <c r="Z20" s="15"/>
    </row>
    <row r="21" spans="1:26" ht="15" customHeight="1" x14ac:dyDescent="0.25">
      <c r="A21" s="108">
        <f>Données!A21</f>
        <v>5414</v>
      </c>
      <c r="B21" s="116" t="str">
        <f>Données!B21</f>
        <v>Villeneuve</v>
      </c>
      <c r="C21" s="304">
        <f>Ressources!H21</f>
        <v>-7460719.8103093896</v>
      </c>
      <c r="D21" s="304">
        <f>Ressources!L21</f>
        <v>0</v>
      </c>
      <c r="E21" s="332">
        <f>Ressources!T21</f>
        <v>152710.6562891244</v>
      </c>
      <c r="F21" s="305">
        <f t="shared" si="0"/>
        <v>-7308009.1540202647</v>
      </c>
      <c r="G21" s="304">
        <f>'Besoins structurels'!I21</f>
        <v>0</v>
      </c>
      <c r="H21" s="304">
        <f>'Besoins structurels'!N21</f>
        <v>0</v>
      </c>
      <c r="I21" s="304">
        <f>'Besoins structurels'!V21</f>
        <v>0</v>
      </c>
      <c r="J21" s="306">
        <f t="shared" si="1"/>
        <v>0</v>
      </c>
      <c r="K21" s="304">
        <f>'Charges des villes'!N21</f>
        <v>715414.13434016705</v>
      </c>
      <c r="L21" s="304">
        <f>'Charges des villes'!U21</f>
        <v>155540.7072710116</v>
      </c>
      <c r="M21" s="299">
        <f t="shared" si="2"/>
        <v>870954.84161117859</v>
      </c>
      <c r="N21" s="305">
        <f>-VLOOKUP(A21,Paramètres!$B$23:$C$316,2,FALSE)*$N$5</f>
        <v>-349350</v>
      </c>
      <c r="O21" s="319"/>
      <c r="P21" s="598">
        <f t="shared" si="3"/>
        <v>-6786404.3124090862</v>
      </c>
      <c r="Q21" s="599"/>
      <c r="R21" s="599"/>
      <c r="S21" s="600"/>
      <c r="T21" s="305">
        <f>PCS!D21</f>
        <v>6054128.0280852458</v>
      </c>
      <c r="U21" s="300">
        <f>Police!U21</f>
        <v>1084489.3305289135</v>
      </c>
      <c r="V21" s="333">
        <f t="shared" si="4"/>
        <v>352213.04620507313</v>
      </c>
      <c r="W21" s="177"/>
      <c r="X21" s="177"/>
      <c r="Y21" s="177"/>
      <c r="Z21" s="15"/>
    </row>
    <row r="22" spans="1:26" x14ac:dyDescent="0.25">
      <c r="A22" s="108">
        <f>Données!A22</f>
        <v>5415</v>
      </c>
      <c r="B22" s="116" t="str">
        <f>Données!B22</f>
        <v>Yvorne</v>
      </c>
      <c r="C22" s="304">
        <f>Ressources!H22</f>
        <v>-1013334.8101070244</v>
      </c>
      <c r="D22" s="304">
        <f>Ressources!L22</f>
        <v>0</v>
      </c>
      <c r="E22" s="332">
        <f>Ressources!T22</f>
        <v>-93818.616104473826</v>
      </c>
      <c r="F22" s="305">
        <f t="shared" si="0"/>
        <v>-1107153.4262114982</v>
      </c>
      <c r="G22" s="304">
        <f>'Besoins structurels'!I22</f>
        <v>-36207</v>
      </c>
      <c r="H22" s="304">
        <f>'Besoins structurels'!N22</f>
        <v>0</v>
      </c>
      <c r="I22" s="304">
        <f>'Besoins structurels'!V22</f>
        <v>0</v>
      </c>
      <c r="J22" s="306">
        <f t="shared" si="1"/>
        <v>-36207</v>
      </c>
      <c r="K22" s="304">
        <f>'Charges des villes'!N22</f>
        <v>494564.20292821131</v>
      </c>
      <c r="L22" s="304">
        <f>'Charges des villes'!U22</f>
        <v>9751.3819720503816</v>
      </c>
      <c r="M22" s="299">
        <f t="shared" si="2"/>
        <v>504315.58490026172</v>
      </c>
      <c r="N22" s="305">
        <f>-VLOOKUP(A22,Paramètres!$B$23:$C$316,2,FALSE)*$N$5</f>
        <v>-90825</v>
      </c>
      <c r="O22" s="319"/>
      <c r="P22" s="598">
        <f t="shared" si="3"/>
        <v>-729869.84131123649</v>
      </c>
      <c r="Q22" s="599"/>
      <c r="R22" s="599"/>
      <c r="S22" s="600"/>
      <c r="T22" s="305">
        <f>PCS!D22</f>
        <v>1115522.6845755624</v>
      </c>
      <c r="U22" s="300">
        <f>Police!U22</f>
        <v>169777.98222899198</v>
      </c>
      <c r="V22" s="333">
        <f t="shared" si="4"/>
        <v>555430.8254933178</v>
      </c>
      <c r="W22" s="177"/>
      <c r="X22" s="177"/>
      <c r="Y22" s="177"/>
      <c r="Z22" s="15"/>
    </row>
    <row r="23" spans="1:26" x14ac:dyDescent="0.25">
      <c r="A23" s="108">
        <f>Données!A23</f>
        <v>5422</v>
      </c>
      <c r="B23" s="116" t="str">
        <f>Données!B23</f>
        <v>Aubonne</v>
      </c>
      <c r="C23" s="304">
        <f>Ressources!H23</f>
        <v>12093072.865198469</v>
      </c>
      <c r="D23" s="304">
        <f>Ressources!L23</f>
        <v>0</v>
      </c>
      <c r="E23" s="332">
        <f>Ressources!T23</f>
        <v>323526.25298656814</v>
      </c>
      <c r="F23" s="305">
        <f t="shared" si="0"/>
        <v>12416599.118185038</v>
      </c>
      <c r="G23" s="304">
        <f>'Besoins structurels'!I23</f>
        <v>0</v>
      </c>
      <c r="H23" s="304">
        <f>'Besoins structurels'!N23</f>
        <v>0</v>
      </c>
      <c r="I23" s="304">
        <f>'Besoins structurels'!V23</f>
        <v>0</v>
      </c>
      <c r="J23" s="306">
        <f t="shared" si="1"/>
        <v>0</v>
      </c>
      <c r="K23" s="304">
        <f>'Charges des villes'!N23</f>
        <v>861414.78896482056</v>
      </c>
      <c r="L23" s="304">
        <f>'Charges des villes'!U23</f>
        <v>394106.62391698686</v>
      </c>
      <c r="M23" s="299">
        <f t="shared" si="2"/>
        <v>1255521.4128818074</v>
      </c>
      <c r="N23" s="305">
        <f>-VLOOKUP(A23,Paramètres!$B$23:$C$316,2,FALSE)*$N$5</f>
        <v>0</v>
      </c>
      <c r="O23" s="319"/>
      <c r="P23" s="598">
        <f t="shared" si="3"/>
        <v>13672120.531066846</v>
      </c>
      <c r="Q23" s="599"/>
      <c r="R23" s="599"/>
      <c r="S23" s="600"/>
      <c r="T23" s="305">
        <f>PCS!D23</f>
        <v>3883893.1001844425</v>
      </c>
      <c r="U23" s="300">
        <f>Police!U23</f>
        <v>664612.27600158774</v>
      </c>
      <c r="V23" s="333">
        <f t="shared" si="4"/>
        <v>18220625.907252878</v>
      </c>
      <c r="W23" s="177"/>
      <c r="X23" s="177"/>
      <c r="Y23" s="177"/>
      <c r="Z23" s="15"/>
    </row>
    <row r="24" spans="1:26" ht="15" customHeight="1" x14ac:dyDescent="0.25">
      <c r="A24" s="108">
        <f>Données!A24</f>
        <v>5423</v>
      </c>
      <c r="B24" s="116" t="str">
        <f>Données!B24</f>
        <v>Ballens</v>
      </c>
      <c r="C24" s="304">
        <f>Ressources!H24</f>
        <v>-696476.76436951244</v>
      </c>
      <c r="D24" s="304">
        <f>Ressources!L24</f>
        <v>0</v>
      </c>
      <c r="E24" s="332">
        <f>Ressources!T24</f>
        <v>-49124.242404463657</v>
      </c>
      <c r="F24" s="305">
        <f t="shared" si="0"/>
        <v>-745601.00677397614</v>
      </c>
      <c r="G24" s="304">
        <f>'Besoins structurels'!I24</f>
        <v>-42442</v>
      </c>
      <c r="H24" s="304">
        <f>'Besoins structurels'!N24</f>
        <v>0</v>
      </c>
      <c r="I24" s="304">
        <f>'Besoins structurels'!V24</f>
        <v>0</v>
      </c>
      <c r="J24" s="306">
        <f t="shared" si="1"/>
        <v>-42442</v>
      </c>
      <c r="K24" s="304">
        <f>'Charges des villes'!N24</f>
        <v>271181.38971142675</v>
      </c>
      <c r="L24" s="304">
        <f>'Charges des villes'!U24</f>
        <v>58670.903971214677</v>
      </c>
      <c r="M24" s="299">
        <f t="shared" si="2"/>
        <v>329852.29368264141</v>
      </c>
      <c r="N24" s="305">
        <f>-VLOOKUP(A24,Paramètres!$B$23:$C$316,2,FALSE)*$N$5</f>
        <v>0</v>
      </c>
      <c r="O24" s="319"/>
      <c r="P24" s="598">
        <f t="shared" si="3"/>
        <v>-458190.71309133474</v>
      </c>
      <c r="Q24" s="599"/>
      <c r="R24" s="599"/>
      <c r="S24" s="600"/>
      <c r="T24" s="305">
        <f>PCS!D24</f>
        <v>578197.6381178071</v>
      </c>
      <c r="U24" s="300">
        <f>Police!U24</f>
        <v>86451.885239460127</v>
      </c>
      <c r="V24" s="333">
        <f t="shared" si="4"/>
        <v>206458.81026593249</v>
      </c>
      <c r="W24" s="177"/>
      <c r="X24" s="177"/>
      <c r="Y24" s="177"/>
      <c r="Z24" s="15"/>
    </row>
    <row r="25" spans="1:26" x14ac:dyDescent="0.25">
      <c r="A25" s="108">
        <f>Données!A25</f>
        <v>5424</v>
      </c>
      <c r="B25" s="116" t="str">
        <f>Données!B25</f>
        <v>Berolle</v>
      </c>
      <c r="C25" s="304">
        <f>Ressources!H25</f>
        <v>-275261.33531651506</v>
      </c>
      <c r="D25" s="304">
        <f>Ressources!L25</f>
        <v>0</v>
      </c>
      <c r="E25" s="332">
        <f>Ressources!T25</f>
        <v>-34431.63210575706</v>
      </c>
      <c r="F25" s="305">
        <f t="shared" si="0"/>
        <v>-309692.96742227214</v>
      </c>
      <c r="G25" s="304">
        <f>'Besoins structurels'!I25</f>
        <v>-78906</v>
      </c>
      <c r="H25" s="304">
        <f>'Besoins structurels'!N25</f>
        <v>-45433</v>
      </c>
      <c r="I25" s="304">
        <f>'Besoins structurels'!V25</f>
        <v>0</v>
      </c>
      <c r="J25" s="306">
        <f t="shared" si="1"/>
        <v>-124339</v>
      </c>
      <c r="K25" s="304">
        <f>'Charges des villes'!N25</f>
        <v>140266.23605763455</v>
      </c>
      <c r="L25" s="304">
        <f>'Charges des villes'!U25</f>
        <v>30347.019295455866</v>
      </c>
      <c r="M25" s="299">
        <f t="shared" si="2"/>
        <v>170613.25535309041</v>
      </c>
      <c r="N25" s="305">
        <f>-VLOOKUP(A25,Paramètres!$B$23:$C$316,2,FALSE)*$N$5</f>
        <v>0</v>
      </c>
      <c r="O25" s="319"/>
      <c r="P25" s="598">
        <f t="shared" si="3"/>
        <v>-263418.71206918173</v>
      </c>
      <c r="Q25" s="599"/>
      <c r="R25" s="599"/>
      <c r="S25" s="600"/>
      <c r="T25" s="305">
        <f>PCS!D25</f>
        <v>299067.74385403818</v>
      </c>
      <c r="U25" s="300">
        <f>Police!U25</f>
        <v>44716.492365237995</v>
      </c>
      <c r="V25" s="333">
        <f t="shared" si="4"/>
        <v>80365.524150094454</v>
      </c>
      <c r="W25" s="177"/>
      <c r="X25" s="177"/>
      <c r="Y25" s="177"/>
      <c r="Z25" s="15"/>
    </row>
    <row r="26" spans="1:26" x14ac:dyDescent="0.25">
      <c r="A26" s="108">
        <f>Données!A26</f>
        <v>5425</v>
      </c>
      <c r="B26" s="116" t="str">
        <f>Données!B26</f>
        <v>Bière</v>
      </c>
      <c r="C26" s="304">
        <f>Ressources!H26</f>
        <v>-2261215.761183613</v>
      </c>
      <c r="D26" s="304">
        <f>Ressources!L26</f>
        <v>0</v>
      </c>
      <c r="E26" s="332">
        <f>Ressources!T26</f>
        <v>-157158.66868964251</v>
      </c>
      <c r="F26" s="305">
        <f t="shared" si="0"/>
        <v>-2418374.4298732555</v>
      </c>
      <c r="G26" s="304">
        <f>'Besoins structurels'!I26</f>
        <v>-123610</v>
      </c>
      <c r="H26" s="304">
        <f>'Besoins structurels'!N26</f>
        <v>-1190</v>
      </c>
      <c r="I26" s="304">
        <f>'Besoins structurels'!V26</f>
        <v>0</v>
      </c>
      <c r="J26" s="306">
        <f t="shared" si="1"/>
        <v>-124800</v>
      </c>
      <c r="K26" s="304">
        <f>'Charges des villes'!N26</f>
        <v>626663.93530138722</v>
      </c>
      <c r="L26" s="304">
        <f>'Charges des villes'!U26</f>
        <v>172067.59940523477</v>
      </c>
      <c r="M26" s="299">
        <f t="shared" si="2"/>
        <v>798731.53470662201</v>
      </c>
      <c r="N26" s="305">
        <f>-VLOOKUP(A26,Paramètres!$B$23:$C$316,2,FALSE)*$N$5</f>
        <v>-142350</v>
      </c>
      <c r="O26" s="319"/>
      <c r="P26" s="598">
        <f t="shared" si="3"/>
        <v>-1886792.8951666337</v>
      </c>
      <c r="Q26" s="599"/>
      <c r="R26" s="599"/>
      <c r="S26" s="600"/>
      <c r="T26" s="305">
        <f>PCS!D26</f>
        <v>1695714.1076523964</v>
      </c>
      <c r="U26" s="300">
        <f>Police!U26</f>
        <v>271129.16263833351</v>
      </c>
      <c r="V26" s="333">
        <f t="shared" si="4"/>
        <v>80050.375124096288</v>
      </c>
      <c r="W26" s="177"/>
      <c r="X26" s="177"/>
      <c r="Y26" s="177"/>
      <c r="Z26" s="15"/>
    </row>
    <row r="27" spans="1:26" x14ac:dyDescent="0.25">
      <c r="A27" s="108">
        <f>Données!A27</f>
        <v>5426</v>
      </c>
      <c r="B27" s="116" t="str">
        <f>Données!B27</f>
        <v>Bougy-Villars</v>
      </c>
      <c r="C27" s="304">
        <f>Ressources!H27</f>
        <v>2776529.1956947367</v>
      </c>
      <c r="D27" s="304">
        <f>Ressources!L27</f>
        <v>0</v>
      </c>
      <c r="E27" s="332">
        <f>Ressources!T27</f>
        <v>24846.725456205881</v>
      </c>
      <c r="F27" s="305">
        <f t="shared" si="0"/>
        <v>2801375.9211509423</v>
      </c>
      <c r="G27" s="304">
        <f>'Besoins structurels'!I27</f>
        <v>0</v>
      </c>
      <c r="H27" s="304">
        <f>'Besoins structurels'!N27</f>
        <v>0</v>
      </c>
      <c r="I27" s="304">
        <f>'Besoins structurels'!V27</f>
        <v>0</v>
      </c>
      <c r="J27" s="306">
        <f t="shared" si="1"/>
        <v>0</v>
      </c>
      <c r="K27" s="304">
        <f>'Charges des villes'!N27</f>
        <v>230504.18125471281</v>
      </c>
      <c r="L27" s="304">
        <f>'Charges des villes'!U27</f>
        <v>49870.268375532469</v>
      </c>
      <c r="M27" s="299">
        <f t="shared" si="2"/>
        <v>280374.44963024528</v>
      </c>
      <c r="N27" s="305">
        <f>-VLOOKUP(A27,Paramètres!$B$23:$C$316,2,FALSE)*$N$5</f>
        <v>0</v>
      </c>
      <c r="O27" s="319"/>
      <c r="P27" s="598">
        <f t="shared" si="3"/>
        <v>3081750.3707811874</v>
      </c>
      <c r="Q27" s="599"/>
      <c r="R27" s="599"/>
      <c r="S27" s="600"/>
      <c r="T27" s="305">
        <f>PCS!D27</f>
        <v>491467.99240013608</v>
      </c>
      <c r="U27" s="300">
        <f>Police!U27</f>
        <v>73484.102453541098</v>
      </c>
      <c r="V27" s="333">
        <f t="shared" si="4"/>
        <v>3646702.4656348648</v>
      </c>
      <c r="W27" s="177"/>
      <c r="X27" s="177"/>
      <c r="Y27" s="177"/>
      <c r="Z27" s="15"/>
    </row>
    <row r="28" spans="1:26" ht="15" customHeight="1" x14ac:dyDescent="0.25">
      <c r="A28" s="108">
        <f>Données!A28</f>
        <v>5427</v>
      </c>
      <c r="B28" s="116" t="str">
        <f>Données!B28</f>
        <v>Féchy</v>
      </c>
      <c r="C28" s="304">
        <f>Ressources!H28</f>
        <v>1919783.6691017232</v>
      </c>
      <c r="D28" s="304">
        <f>Ressources!L28</f>
        <v>0</v>
      </c>
      <c r="E28" s="332">
        <f>Ressources!T28</f>
        <v>11974.248140613665</v>
      </c>
      <c r="F28" s="305">
        <f t="shared" si="0"/>
        <v>1931757.917242337</v>
      </c>
      <c r="G28" s="304">
        <f>'Besoins structurels'!I28</f>
        <v>0</v>
      </c>
      <c r="H28" s="304">
        <f>'Besoins structurels'!N28</f>
        <v>0</v>
      </c>
      <c r="I28" s="304">
        <f>'Besoins structurels'!V28</f>
        <v>0</v>
      </c>
      <c r="J28" s="306">
        <f t="shared" si="1"/>
        <v>0</v>
      </c>
      <c r="K28" s="304">
        <f>'Charges des villes'!N28</f>
        <v>423604.03289405629</v>
      </c>
      <c r="L28" s="304">
        <f>'Charges des villes'!U28</f>
        <v>91647.998272276716</v>
      </c>
      <c r="M28" s="299">
        <f t="shared" si="2"/>
        <v>515252.03116633301</v>
      </c>
      <c r="N28" s="305">
        <f>-VLOOKUP(A28,Paramètres!$B$23:$C$316,2,FALSE)*$N$5</f>
        <v>0</v>
      </c>
      <c r="O28" s="319"/>
      <c r="P28" s="598">
        <f t="shared" si="3"/>
        <v>2447009.9484086698</v>
      </c>
      <c r="Q28" s="599"/>
      <c r="R28" s="599"/>
      <c r="S28" s="600"/>
      <c r="T28" s="305">
        <f>PCS!D28</f>
        <v>903184.58643919532</v>
      </c>
      <c r="U28" s="300">
        <f>Police!U28</f>
        <v>135043.80694301875</v>
      </c>
      <c r="V28" s="333">
        <f t="shared" si="4"/>
        <v>3485238.3417908838</v>
      </c>
      <c r="W28" s="177"/>
      <c r="X28" s="177"/>
      <c r="Y28" s="177"/>
      <c r="Z28" s="15"/>
    </row>
    <row r="29" spans="1:26" x14ac:dyDescent="0.25">
      <c r="A29" s="108">
        <f>Données!A29</f>
        <v>5428</v>
      </c>
      <c r="B29" s="116" t="str">
        <f>Données!B29</f>
        <v>Gimel</v>
      </c>
      <c r="C29" s="304">
        <f>Ressources!H29</f>
        <v>-3349638.2751210327</v>
      </c>
      <c r="D29" s="304">
        <f>Ressources!L29</f>
        <v>0</v>
      </c>
      <c r="E29" s="332">
        <f>Ressources!T29</f>
        <v>-9808.9920484862523</v>
      </c>
      <c r="F29" s="305">
        <f t="shared" si="0"/>
        <v>-3359447.2671695189</v>
      </c>
      <c r="G29" s="304">
        <f>'Besoins structurels'!I29</f>
        <v>-4530</v>
      </c>
      <c r="H29" s="304">
        <f>'Besoins structurels'!N29</f>
        <v>-91823</v>
      </c>
      <c r="I29" s="304">
        <f>'Besoins structurels'!V29</f>
        <v>-110541</v>
      </c>
      <c r="J29" s="306">
        <f t="shared" si="1"/>
        <v>-206894</v>
      </c>
      <c r="K29" s="304">
        <f>'Charges des villes'!N29</f>
        <v>898501.77197236964</v>
      </c>
      <c r="L29" s="304">
        <f>'Charges des villes'!U29</f>
        <v>338166.95168236317</v>
      </c>
      <c r="M29" s="299">
        <f t="shared" si="2"/>
        <v>1236668.7236547328</v>
      </c>
      <c r="N29" s="305">
        <f>-VLOOKUP(A29,Paramètres!$B$23:$C$316,2,FALSE)*$N$5</f>
        <v>-83850</v>
      </c>
      <c r="O29" s="319"/>
      <c r="P29" s="598">
        <f t="shared" si="3"/>
        <v>-2413522.5435147863</v>
      </c>
      <c r="Q29" s="599"/>
      <c r="R29" s="599"/>
      <c r="S29" s="600"/>
      <c r="T29" s="305">
        <f>PCS!D29</f>
        <v>3332611.5590134985</v>
      </c>
      <c r="U29" s="300">
        <f>Police!U29</f>
        <v>561374.42294332059</v>
      </c>
      <c r="V29" s="333">
        <f t="shared" si="4"/>
        <v>1480463.4384420328</v>
      </c>
      <c r="W29" s="177"/>
      <c r="X29" s="177"/>
      <c r="Y29" s="177"/>
      <c r="Z29" s="15"/>
    </row>
    <row r="30" spans="1:26" x14ac:dyDescent="0.25">
      <c r="A30" s="108">
        <f>Données!A30</f>
        <v>5429</v>
      </c>
      <c r="B30" s="116" t="str">
        <f>Données!B30</f>
        <v>Longirod</v>
      </c>
      <c r="C30" s="304">
        <f>Ressources!H30</f>
        <v>-509228.78660841857</v>
      </c>
      <c r="D30" s="304">
        <f>Ressources!L30</f>
        <v>0</v>
      </c>
      <c r="E30" s="332">
        <f>Ressources!T30</f>
        <v>-28142.005416708125</v>
      </c>
      <c r="F30" s="305">
        <f t="shared" si="0"/>
        <v>-537370.79202512675</v>
      </c>
      <c r="G30" s="304">
        <f>'Besoins structurels'!I30</f>
        <v>-56288</v>
      </c>
      <c r="H30" s="304">
        <f>'Besoins structurels'!N30</f>
        <v>-47910</v>
      </c>
      <c r="I30" s="304">
        <f>'Besoins structurels'!V30</f>
        <v>0</v>
      </c>
      <c r="J30" s="306">
        <f t="shared" si="1"/>
        <v>-104198</v>
      </c>
      <c r="K30" s="304">
        <f>'Charges des villes'!N30</f>
        <v>260895.19906720024</v>
      </c>
      <c r="L30" s="304">
        <f>'Charges des villes'!U30</f>
        <v>56445.455889547913</v>
      </c>
      <c r="M30" s="299">
        <f t="shared" si="2"/>
        <v>317340.65495674813</v>
      </c>
      <c r="N30" s="305">
        <f>-VLOOKUP(A30,Paramètres!$B$23:$C$316,2,FALSE)*$N$5</f>
        <v>0</v>
      </c>
      <c r="O30" s="319"/>
      <c r="P30" s="598">
        <f t="shared" si="3"/>
        <v>-324228.13706837862</v>
      </c>
      <c r="Q30" s="599"/>
      <c r="R30" s="599"/>
      <c r="S30" s="600"/>
      <c r="T30" s="305">
        <f>PCS!D30</f>
        <v>556266.00356851099</v>
      </c>
      <c r="U30" s="300">
        <f>Police!U30</f>
        <v>83172.675799342658</v>
      </c>
      <c r="V30" s="333">
        <f t="shared" si="4"/>
        <v>315210.54229947506</v>
      </c>
      <c r="W30" s="177"/>
      <c r="X30" s="177"/>
      <c r="Y30" s="177"/>
      <c r="Z30" s="15"/>
    </row>
    <row r="31" spans="1:26" x14ac:dyDescent="0.25">
      <c r="A31" s="108">
        <f>Données!A31</f>
        <v>5430</v>
      </c>
      <c r="B31" s="116" t="str">
        <f>Données!B31</f>
        <v>Marchissy</v>
      </c>
      <c r="C31" s="304">
        <f>Ressources!H31</f>
        <v>-396133.36164623289</v>
      </c>
      <c r="D31" s="304">
        <f>Ressources!L31</f>
        <v>0</v>
      </c>
      <c r="E31" s="332">
        <f>Ressources!T31</f>
        <v>-69489.284453441578</v>
      </c>
      <c r="F31" s="305">
        <f t="shared" si="0"/>
        <v>-465622.64609967446</v>
      </c>
      <c r="G31" s="304">
        <f>'Besoins structurels'!I31</f>
        <v>-88099</v>
      </c>
      <c r="H31" s="304">
        <f>'Besoins structurels'!N31</f>
        <v>-45426</v>
      </c>
      <c r="I31" s="304">
        <f>'Besoins structurels'!V31</f>
        <v>0</v>
      </c>
      <c r="J31" s="306">
        <f t="shared" si="1"/>
        <v>-133525</v>
      </c>
      <c r="K31" s="304">
        <f>'Charges des villes'!N31</f>
        <v>230036.62713452065</v>
      </c>
      <c r="L31" s="304">
        <f>'Charges des villes'!U31</f>
        <v>49769.111644547622</v>
      </c>
      <c r="M31" s="299">
        <f t="shared" si="2"/>
        <v>279805.73877906828</v>
      </c>
      <c r="N31" s="305">
        <f>-VLOOKUP(A31,Paramètres!$B$23:$C$316,2,FALSE)*$N$5</f>
        <v>0</v>
      </c>
      <c r="O31" s="319"/>
      <c r="P31" s="598">
        <f t="shared" si="3"/>
        <v>-319341.90732060623</v>
      </c>
      <c r="Q31" s="599"/>
      <c r="R31" s="599"/>
      <c r="S31" s="600"/>
      <c r="T31" s="305">
        <f>PCS!D31</f>
        <v>490471.0999206226</v>
      </c>
      <c r="U31" s="300">
        <f>Police!U31</f>
        <v>73335.047478990309</v>
      </c>
      <c r="V31" s="333">
        <f t="shared" si="4"/>
        <v>244464.24007900667</v>
      </c>
      <c r="W31" s="177"/>
      <c r="X31" s="177"/>
      <c r="Y31" s="177"/>
      <c r="Z31" s="15"/>
    </row>
    <row r="32" spans="1:26" x14ac:dyDescent="0.25">
      <c r="A32" s="108">
        <f>Données!A32</f>
        <v>5431</v>
      </c>
      <c r="B32" s="116" t="str">
        <f>Données!B32</f>
        <v>Mollens</v>
      </c>
      <c r="C32" s="304">
        <f>Ressources!H32</f>
        <v>-267106.59400459973</v>
      </c>
      <c r="D32" s="304">
        <f>Ressources!L32</f>
        <v>0</v>
      </c>
      <c r="E32" s="332">
        <f>Ressources!T32</f>
        <v>-30253.48391280754</v>
      </c>
      <c r="F32" s="305">
        <f t="shared" si="0"/>
        <v>-297360.07791740727</v>
      </c>
      <c r="G32" s="304">
        <f>'Besoins structurels'!I32</f>
        <v>-91844</v>
      </c>
      <c r="H32" s="304">
        <f>'Besoins structurels'!N32</f>
        <v>-34617</v>
      </c>
      <c r="I32" s="304">
        <f>'Besoins structurels'!V32</f>
        <v>0</v>
      </c>
      <c r="J32" s="306">
        <f t="shared" si="1"/>
        <v>-126461</v>
      </c>
      <c r="K32" s="304">
        <f>'Charges des villes'!N32</f>
        <v>149617.31846147688</v>
      </c>
      <c r="L32" s="304">
        <f>'Charges des villes'!U32</f>
        <v>32370.153915152921</v>
      </c>
      <c r="M32" s="299">
        <f t="shared" si="2"/>
        <v>181987.4723766298</v>
      </c>
      <c r="N32" s="305">
        <f>-VLOOKUP(A32,Paramètres!$B$23:$C$316,2,FALSE)*$N$5</f>
        <v>0</v>
      </c>
      <c r="O32" s="319"/>
      <c r="P32" s="598">
        <f t="shared" si="3"/>
        <v>-241833.60554077747</v>
      </c>
      <c r="Q32" s="599"/>
      <c r="R32" s="599"/>
      <c r="S32" s="600"/>
      <c r="T32" s="305">
        <f>PCS!D32</f>
        <v>319005.59344430739</v>
      </c>
      <c r="U32" s="300">
        <f>Police!U32</f>
        <v>47697.591856253857</v>
      </c>
      <c r="V32" s="333">
        <f t="shared" si="4"/>
        <v>124869.57975978378</v>
      </c>
      <c r="W32" s="177"/>
      <c r="X32" s="177"/>
      <c r="Y32" s="177"/>
      <c r="Z32" s="15"/>
    </row>
    <row r="33" spans="1:26" x14ac:dyDescent="0.25">
      <c r="A33" s="108">
        <f>Données!A33</f>
        <v>5434</v>
      </c>
      <c r="B33" s="116" t="str">
        <f>Données!B33</f>
        <v>Saint-George</v>
      </c>
      <c r="C33" s="304">
        <f>Ressources!H33</f>
        <v>-452770.77056632465</v>
      </c>
      <c r="D33" s="304">
        <f>Ressources!L33</f>
        <v>0</v>
      </c>
      <c r="E33" s="332">
        <f>Ressources!T33</f>
        <v>-94976.067761430459</v>
      </c>
      <c r="F33" s="305">
        <f t="shared" si="0"/>
        <v>-547746.8383277551</v>
      </c>
      <c r="G33" s="304">
        <f>'Besoins structurels'!I33</f>
        <v>-44520</v>
      </c>
      <c r="H33" s="304">
        <f>'Besoins structurels'!N33</f>
        <v>-155258</v>
      </c>
      <c r="I33" s="304">
        <f>'Besoins structurels'!V33</f>
        <v>0</v>
      </c>
      <c r="J33" s="306">
        <f t="shared" si="1"/>
        <v>-199778</v>
      </c>
      <c r="K33" s="304">
        <f>'Charges des villes'!N33</f>
        <v>486166.10997665196</v>
      </c>
      <c r="L33" s="304">
        <f>'Charges des villes'!U33</f>
        <v>109451.58292561083</v>
      </c>
      <c r="M33" s="299">
        <f t="shared" si="2"/>
        <v>595617.69290226279</v>
      </c>
      <c r="N33" s="305">
        <f>-VLOOKUP(A33,Paramètres!$B$23:$C$316,2,FALSE)*$N$5</f>
        <v>0</v>
      </c>
      <c r="O33" s="319"/>
      <c r="P33" s="598">
        <f t="shared" si="3"/>
        <v>-151907.14542549232</v>
      </c>
      <c r="Q33" s="599"/>
      <c r="R33" s="599"/>
      <c r="S33" s="600"/>
      <c r="T33" s="305">
        <f>PCS!D33</f>
        <v>1078637.6628335642</v>
      </c>
      <c r="U33" s="300">
        <f>Police!U33</f>
        <v>163334.6941273672</v>
      </c>
      <c r="V33" s="333">
        <f t="shared" si="4"/>
        <v>1090065.2115354391</v>
      </c>
      <c r="W33" s="177"/>
      <c r="X33" s="177"/>
      <c r="Y33" s="177"/>
      <c r="Z33" s="15"/>
    </row>
    <row r="34" spans="1:26" x14ac:dyDescent="0.25">
      <c r="A34" s="108">
        <f>Données!A34</f>
        <v>5435</v>
      </c>
      <c r="B34" s="116" t="str">
        <f>Données!B34</f>
        <v>Saint-Livres</v>
      </c>
      <c r="C34" s="304">
        <f>Ressources!H34</f>
        <v>-626746.15984520561</v>
      </c>
      <c r="D34" s="304">
        <f>Ressources!L34</f>
        <v>0</v>
      </c>
      <c r="E34" s="332">
        <f>Ressources!T34</f>
        <v>-99118.873969586683</v>
      </c>
      <c r="F34" s="305">
        <f t="shared" si="0"/>
        <v>-725865.03381479229</v>
      </c>
      <c r="G34" s="304">
        <f>'Besoins structurels'!I34</f>
        <v>-29288</v>
      </c>
      <c r="H34" s="304">
        <f>'Besoins structurels'!N34</f>
        <v>0</v>
      </c>
      <c r="I34" s="304">
        <f>'Besoins structurels'!V34</f>
        <v>0</v>
      </c>
      <c r="J34" s="306">
        <f t="shared" si="1"/>
        <v>-29288</v>
      </c>
      <c r="K34" s="304">
        <f>'Charges des villes'!N34</f>
        <v>331028.31709601753</v>
      </c>
      <c r="L34" s="304">
        <f>'Charges des villes'!U34</f>
        <v>71618.965537275843</v>
      </c>
      <c r="M34" s="299">
        <f t="shared" si="2"/>
        <v>402647.28263329336</v>
      </c>
      <c r="N34" s="305">
        <f>-VLOOKUP(A34,Paramètres!$B$23:$C$316,2,FALSE)*$N$5</f>
        <v>0</v>
      </c>
      <c r="O34" s="319"/>
      <c r="P34" s="598">
        <f t="shared" si="3"/>
        <v>-352505.75118149893</v>
      </c>
      <c r="Q34" s="599"/>
      <c r="R34" s="599"/>
      <c r="S34" s="600"/>
      <c r="T34" s="305">
        <f>PCS!D34</f>
        <v>705799.87549553008</v>
      </c>
      <c r="U34" s="300">
        <f>Police!U34</f>
        <v>105530.92198196167</v>
      </c>
      <c r="V34" s="333">
        <f t="shared" si="4"/>
        <v>458825.0462959928</v>
      </c>
      <c r="W34" s="177"/>
      <c r="X34" s="177"/>
      <c r="Y34" s="177"/>
      <c r="Z34" s="15"/>
    </row>
    <row r="35" spans="1:26" x14ac:dyDescent="0.25">
      <c r="A35" s="108">
        <f>Données!A35</f>
        <v>5451</v>
      </c>
      <c r="B35" s="116" t="str">
        <f>Données!B35</f>
        <v>Avenches</v>
      </c>
      <c r="C35" s="304">
        <f>Ressources!H35</f>
        <v>-5989515.0089291893</v>
      </c>
      <c r="D35" s="304">
        <f>Ressources!L35</f>
        <v>0</v>
      </c>
      <c r="E35" s="332">
        <f>Ressources!T35</f>
        <v>-453570.41251604905</v>
      </c>
      <c r="F35" s="305">
        <f t="shared" si="0"/>
        <v>-6443085.4214452384</v>
      </c>
      <c r="G35" s="304">
        <f>'Besoins structurels'!I35</f>
        <v>0</v>
      </c>
      <c r="H35" s="304">
        <f>'Besoins structurels'!N35</f>
        <v>0</v>
      </c>
      <c r="I35" s="304">
        <f>'Besoins structurels'!V35</f>
        <v>-77711</v>
      </c>
      <c r="J35" s="306">
        <f t="shared" si="1"/>
        <v>-77711</v>
      </c>
      <c r="K35" s="304">
        <f>'Charges des villes'!N35</f>
        <v>790527.01131748082</v>
      </c>
      <c r="L35" s="304">
        <f>'Charges des villes'!U35</f>
        <v>286399.68856797635</v>
      </c>
      <c r="M35" s="299">
        <f t="shared" si="2"/>
        <v>1076926.6998854573</v>
      </c>
      <c r="N35" s="305">
        <f>-VLOOKUP(A35,Paramètres!$B$23:$C$316,2,FALSE)*$N$5</f>
        <v>-168150</v>
      </c>
      <c r="O35" s="319"/>
      <c r="P35" s="598">
        <f t="shared" si="3"/>
        <v>-5612019.7215597816</v>
      </c>
      <c r="Q35" s="599"/>
      <c r="R35" s="599"/>
      <c r="S35" s="600"/>
      <c r="T35" s="305">
        <f>PCS!D35</f>
        <v>4937608.4510301705</v>
      </c>
      <c r="U35" s="300">
        <f>Police!U35</f>
        <v>861940.32425219961</v>
      </c>
      <c r="V35" s="333">
        <f t="shared" si="4"/>
        <v>187529.05372258858</v>
      </c>
      <c r="W35" s="177"/>
      <c r="X35" s="177"/>
      <c r="Y35" s="177"/>
      <c r="Z35" s="15"/>
    </row>
    <row r="36" spans="1:26" x14ac:dyDescent="0.25">
      <c r="A36" s="108">
        <f>Données!A36</f>
        <v>5456</v>
      </c>
      <c r="B36" s="116" t="str">
        <f>Données!B36</f>
        <v>Cudrefin</v>
      </c>
      <c r="C36" s="304">
        <f>Ressources!H36</f>
        <v>-1475992.3962757005</v>
      </c>
      <c r="D36" s="304">
        <f>Ressources!L36</f>
        <v>0</v>
      </c>
      <c r="E36" s="332">
        <f>Ressources!T36</f>
        <v>-142596.54802508259</v>
      </c>
      <c r="F36" s="305">
        <f t="shared" si="0"/>
        <v>-1618588.9443007831</v>
      </c>
      <c r="G36" s="304">
        <f>'Besoins structurels'!I36</f>
        <v>-1553</v>
      </c>
      <c r="H36" s="304">
        <f>'Besoins structurels'!N36</f>
        <v>0</v>
      </c>
      <c r="I36" s="304">
        <f>'Besoins structurels'!V36</f>
        <v>0</v>
      </c>
      <c r="J36" s="306">
        <f t="shared" si="1"/>
        <v>-1553</v>
      </c>
      <c r="K36" s="304">
        <f>'Charges des villes'!N36</f>
        <v>675236.68912932486</v>
      </c>
      <c r="L36" s="304">
        <f>'Charges des villes'!U36</f>
        <v>193715.13983599326</v>
      </c>
      <c r="M36" s="299">
        <f t="shared" si="2"/>
        <v>868951.82896531816</v>
      </c>
      <c r="N36" s="305">
        <f>-VLOOKUP(A36,Paramètres!$B$23:$C$316,2,FALSE)*$N$5</f>
        <v>0</v>
      </c>
      <c r="O36" s="319"/>
      <c r="P36" s="598">
        <f t="shared" si="3"/>
        <v>-751190.11533546494</v>
      </c>
      <c r="Q36" s="599"/>
      <c r="R36" s="599"/>
      <c r="S36" s="600"/>
      <c r="T36" s="305">
        <f>PCS!D36</f>
        <v>1909049.098268277</v>
      </c>
      <c r="U36" s="300">
        <f>Police!U36</f>
        <v>308395.74787475809</v>
      </c>
      <c r="V36" s="333">
        <f t="shared" si="4"/>
        <v>1466254.7308075703</v>
      </c>
      <c r="W36" s="177"/>
      <c r="X36" s="177"/>
      <c r="Y36" s="177"/>
      <c r="Z36" s="15"/>
    </row>
    <row r="37" spans="1:26" x14ac:dyDescent="0.25">
      <c r="A37" s="108">
        <f>Données!A37</f>
        <v>5458</v>
      </c>
      <c r="B37" s="116" t="str">
        <f>Données!B37</f>
        <v>Faoug</v>
      </c>
      <c r="C37" s="304">
        <f>Ressources!H37</f>
        <v>-769687.49481298542</v>
      </c>
      <c r="D37" s="304">
        <f>Ressources!L37</f>
        <v>0</v>
      </c>
      <c r="E37" s="332">
        <f>Ressources!T37</f>
        <v>-62818.081497976236</v>
      </c>
      <c r="F37" s="305">
        <f t="shared" si="0"/>
        <v>-832505.57631096162</v>
      </c>
      <c r="G37" s="304">
        <f>'Besoins structurels'!I37</f>
        <v>0</v>
      </c>
      <c r="H37" s="304">
        <f>'Besoins structurels'!N37</f>
        <v>0</v>
      </c>
      <c r="I37" s="304">
        <f>'Besoins structurels'!V37</f>
        <v>0</v>
      </c>
      <c r="J37" s="306">
        <f t="shared" si="1"/>
        <v>0</v>
      </c>
      <c r="K37" s="304">
        <f>'Charges des villes'!N37</f>
        <v>421733.81641328789</v>
      </c>
      <c r="L37" s="304">
        <f>'Charges des villes'!U37</f>
        <v>91243.371348337299</v>
      </c>
      <c r="M37" s="299">
        <f t="shared" si="2"/>
        <v>512977.18776162516</v>
      </c>
      <c r="N37" s="305">
        <f>-VLOOKUP(A37,Paramètres!$B$23:$C$316,2,FALSE)*$N$5</f>
        <v>0</v>
      </c>
      <c r="O37" s="319"/>
      <c r="P37" s="598">
        <f t="shared" si="3"/>
        <v>-319528.38854933647</v>
      </c>
      <c r="Q37" s="599"/>
      <c r="R37" s="599"/>
      <c r="S37" s="600"/>
      <c r="T37" s="305">
        <f>PCS!D37</f>
        <v>899197.0165211414</v>
      </c>
      <c r="U37" s="300">
        <f>Police!U37</f>
        <v>134447.58704481556</v>
      </c>
      <c r="V37" s="333">
        <f t="shared" si="4"/>
        <v>714116.21501662047</v>
      </c>
      <c r="W37" s="177"/>
      <c r="X37" s="177"/>
      <c r="Y37" s="177"/>
      <c r="Z37" s="15"/>
    </row>
    <row r="38" spans="1:26" x14ac:dyDescent="0.25">
      <c r="A38" s="108">
        <f>Données!A38</f>
        <v>5464</v>
      </c>
      <c r="B38" s="116" t="str">
        <f>Données!B38</f>
        <v>Vully-les-Lacs</v>
      </c>
      <c r="C38" s="304">
        <f>Ressources!H38</f>
        <v>-3215688.4331901502</v>
      </c>
      <c r="D38" s="304">
        <f>Ressources!L38</f>
        <v>0</v>
      </c>
      <c r="E38" s="332">
        <f>Ressources!T38</f>
        <v>-297155.07412363193</v>
      </c>
      <c r="F38" s="305">
        <f t="shared" si="0"/>
        <v>-3512843.5073137823</v>
      </c>
      <c r="G38" s="304">
        <f>'Besoins structurels'!I38</f>
        <v>0</v>
      </c>
      <c r="H38" s="304">
        <f>'Besoins structurels'!N38</f>
        <v>0</v>
      </c>
      <c r="I38" s="304">
        <f>'Besoins structurels'!V38</f>
        <v>0</v>
      </c>
      <c r="J38" s="306">
        <f t="shared" si="1"/>
        <v>0</v>
      </c>
      <c r="K38" s="304">
        <f>'Charges des villes'!N38</f>
        <v>874693.67257331009</v>
      </c>
      <c r="L38" s="304">
        <f>'Charges des villes'!U38</f>
        <v>374077.59118198598</v>
      </c>
      <c r="M38" s="299">
        <f t="shared" si="2"/>
        <v>1248771.2637552961</v>
      </c>
      <c r="N38" s="305">
        <f>-VLOOKUP(A38,Paramètres!$B$23:$C$316,2,FALSE)*$N$5</f>
        <v>0</v>
      </c>
      <c r="O38" s="319"/>
      <c r="P38" s="598">
        <f t="shared" si="3"/>
        <v>-2264072.243558486</v>
      </c>
      <c r="Q38" s="599"/>
      <c r="R38" s="599"/>
      <c r="S38" s="600"/>
      <c r="T38" s="305">
        <f>PCS!D38</f>
        <v>3686508.3892407771</v>
      </c>
      <c r="U38" s="300">
        <f>Police!U38</f>
        <v>627648.27074745228</v>
      </c>
      <c r="V38" s="333">
        <f t="shared" si="4"/>
        <v>2050084.4164297434</v>
      </c>
      <c r="W38" s="177"/>
      <c r="X38" s="177"/>
      <c r="Y38" s="177"/>
      <c r="Z38" s="15"/>
    </row>
    <row r="39" spans="1:26" x14ac:dyDescent="0.25">
      <c r="A39" s="108">
        <f>Données!A39</f>
        <v>5471</v>
      </c>
      <c r="B39" s="116" t="str">
        <f>Données!B39</f>
        <v>Bettens</v>
      </c>
      <c r="C39" s="304">
        <f>Ressources!H39</f>
        <v>-405919.01377591596</v>
      </c>
      <c r="D39" s="304">
        <f>Ressources!L39</f>
        <v>0</v>
      </c>
      <c r="E39" s="332">
        <f>Ressources!T39</f>
        <v>-67583.033909845341</v>
      </c>
      <c r="F39" s="305">
        <f t="shared" si="0"/>
        <v>-473502.0476857613</v>
      </c>
      <c r="G39" s="304">
        <f>'Besoins structurels'!I39</f>
        <v>0</v>
      </c>
      <c r="H39" s="304">
        <f>'Besoins structurels'!N39</f>
        <v>0</v>
      </c>
      <c r="I39" s="304">
        <f>'Besoins structurels'!V39</f>
        <v>-29083</v>
      </c>
      <c r="J39" s="306">
        <f t="shared" si="1"/>
        <v>-29083</v>
      </c>
      <c r="K39" s="304">
        <f>'Charges des villes'!N39</f>
        <v>304845.28636525909</v>
      </c>
      <c r="L39" s="304">
        <f>'Charges des villes'!U39</f>
        <v>65954.188602124079</v>
      </c>
      <c r="M39" s="299">
        <f t="shared" si="2"/>
        <v>370799.4749673832</v>
      </c>
      <c r="N39" s="305">
        <f>-VLOOKUP(A39,Paramètres!$B$23:$C$316,2,FALSE)*$N$5</f>
        <v>0</v>
      </c>
      <c r="O39" s="319"/>
      <c r="P39" s="598">
        <f t="shared" si="3"/>
        <v>-131785.5727183781</v>
      </c>
      <c r="Q39" s="599"/>
      <c r="R39" s="599"/>
      <c r="S39" s="600"/>
      <c r="T39" s="305">
        <f>PCS!D39</f>
        <v>649973.89664277632</v>
      </c>
      <c r="U39" s="300">
        <f>Police!U39</f>
        <v>97183.843407117238</v>
      </c>
      <c r="V39" s="333">
        <f t="shared" si="4"/>
        <v>615372.16733151546</v>
      </c>
      <c r="W39" s="177"/>
      <c r="X39" s="177"/>
      <c r="Y39" s="177"/>
      <c r="Z39" s="15"/>
    </row>
    <row r="40" spans="1:26" x14ac:dyDescent="0.25">
      <c r="A40" s="108">
        <f>Données!A40</f>
        <v>5472</v>
      </c>
      <c r="B40" s="116" t="str">
        <f>Données!B40</f>
        <v>Bournens</v>
      </c>
      <c r="C40" s="304">
        <f>Ressources!H40</f>
        <v>-400921.2507785713</v>
      </c>
      <c r="D40" s="304">
        <f>Ressources!L40</f>
        <v>0</v>
      </c>
      <c r="E40" s="332">
        <f>Ressources!T40</f>
        <v>76451.874704255606</v>
      </c>
      <c r="F40" s="305">
        <f t="shared" si="0"/>
        <v>-324469.37607431569</v>
      </c>
      <c r="G40" s="304">
        <f>'Besoins structurels'!I40</f>
        <v>0</v>
      </c>
      <c r="H40" s="304">
        <f>'Besoins structurels'!N40</f>
        <v>0</v>
      </c>
      <c r="I40" s="304">
        <f>'Besoins structurels'!V40</f>
        <v>0</v>
      </c>
      <c r="J40" s="306">
        <f t="shared" si="1"/>
        <v>0</v>
      </c>
      <c r="K40" s="304">
        <f>'Charges des villes'!N40</f>
        <v>286143.12155757449</v>
      </c>
      <c r="L40" s="304">
        <f>'Charges des villes'!U40</f>
        <v>61907.919362729968</v>
      </c>
      <c r="M40" s="299">
        <f t="shared" si="2"/>
        <v>348051.04092030448</v>
      </c>
      <c r="N40" s="305">
        <f>-VLOOKUP(A40,Paramètres!$B$23:$C$316,2,FALSE)*$N$5</f>
        <v>0</v>
      </c>
      <c r="O40" s="319"/>
      <c r="P40" s="598">
        <f t="shared" si="3"/>
        <v>23581.664845988795</v>
      </c>
      <c r="Q40" s="599"/>
      <c r="R40" s="599"/>
      <c r="S40" s="600"/>
      <c r="T40" s="305">
        <f>PCS!D40</f>
        <v>610098.19746223791</v>
      </c>
      <c r="U40" s="300">
        <f>Police!U40</f>
        <v>91221.644425085498</v>
      </c>
      <c r="V40" s="333">
        <f t="shared" si="4"/>
        <v>724901.50673331227</v>
      </c>
      <c r="W40" s="177"/>
      <c r="X40" s="177"/>
      <c r="Y40" s="177"/>
      <c r="Z40" s="15"/>
    </row>
    <row r="41" spans="1:26" x14ac:dyDescent="0.25">
      <c r="A41" s="108">
        <f>Données!A41</f>
        <v>5473</v>
      </c>
      <c r="B41" s="116" t="str">
        <f>Données!B41</f>
        <v>Boussens</v>
      </c>
      <c r="C41" s="304">
        <f>Ressources!H41</f>
        <v>-780896.97352816327</v>
      </c>
      <c r="D41" s="304">
        <f>Ressources!L41</f>
        <v>0</v>
      </c>
      <c r="E41" s="332">
        <f>Ressources!T41</f>
        <v>-62650.511798163905</v>
      </c>
      <c r="F41" s="305">
        <f t="shared" si="0"/>
        <v>-843547.48532632715</v>
      </c>
      <c r="G41" s="304">
        <f>'Besoins structurels'!I41</f>
        <v>0</v>
      </c>
      <c r="H41" s="304">
        <f>'Besoins structurels'!N41</f>
        <v>0</v>
      </c>
      <c r="I41" s="304">
        <f>'Besoins structurels'!V41</f>
        <v>-140389</v>
      </c>
      <c r="J41" s="306">
        <f t="shared" si="1"/>
        <v>-140389</v>
      </c>
      <c r="K41" s="304">
        <f>'Charges des villes'!N41</f>
        <v>471185.72795495158</v>
      </c>
      <c r="L41" s="304">
        <f>'Charges des villes'!U41</f>
        <v>102775.23868061054</v>
      </c>
      <c r="M41" s="299">
        <f t="shared" si="2"/>
        <v>573960.96663556213</v>
      </c>
      <c r="N41" s="305">
        <f>-VLOOKUP(A41,Paramètres!$B$23:$C$316,2,FALSE)*$N$5</f>
        <v>0</v>
      </c>
      <c r="O41" s="319"/>
      <c r="P41" s="598">
        <f t="shared" si="3"/>
        <v>-409975.51869076502</v>
      </c>
      <c r="Q41" s="599"/>
      <c r="R41" s="599"/>
      <c r="S41" s="600"/>
      <c r="T41" s="305">
        <f>PCS!D41</f>
        <v>1012842.7591856759</v>
      </c>
      <c r="U41" s="300">
        <f>Police!U41</f>
        <v>151841.26129744184</v>
      </c>
      <c r="V41" s="333">
        <f t="shared" si="4"/>
        <v>754708.50179235265</v>
      </c>
      <c r="W41" s="177"/>
      <c r="X41" s="177"/>
      <c r="Y41" s="177"/>
      <c r="Z41" s="15"/>
    </row>
    <row r="42" spans="1:26" x14ac:dyDescent="0.25">
      <c r="A42" s="108">
        <f>Données!A42</f>
        <v>5474</v>
      </c>
      <c r="B42" s="116" t="str">
        <f>Données!B42</f>
        <v>La Chaux (Cossonay)</v>
      </c>
      <c r="C42" s="304">
        <f>Ressources!H42</f>
        <v>-426239.71112238633</v>
      </c>
      <c r="D42" s="304">
        <f>Ressources!L42</f>
        <v>0</v>
      </c>
      <c r="E42" s="332">
        <f>Ressources!T42</f>
        <v>-58983.2180384124</v>
      </c>
      <c r="F42" s="305">
        <f t="shared" si="0"/>
        <v>-485222.92916079873</v>
      </c>
      <c r="G42" s="304">
        <f>'Besoins structurels'!I42</f>
        <v>-38300</v>
      </c>
      <c r="H42" s="304">
        <f>'Besoins structurels'!N42</f>
        <v>0</v>
      </c>
      <c r="I42" s="304">
        <f>'Besoins structurels'!V42</f>
        <v>0</v>
      </c>
      <c r="J42" s="306">
        <f t="shared" si="1"/>
        <v>-38300</v>
      </c>
      <c r="K42" s="304">
        <f>'Charges des villes'!N42</f>
        <v>196840.28460088049</v>
      </c>
      <c r="L42" s="304">
        <f>'Charges des villes'!U42</f>
        <v>42586.983744623067</v>
      </c>
      <c r="M42" s="299">
        <f t="shared" si="2"/>
        <v>239427.26834550354</v>
      </c>
      <c r="N42" s="305">
        <f>-VLOOKUP(A42,Paramètres!$B$23:$C$316,2,FALSE)*$N$5</f>
        <v>-30525</v>
      </c>
      <c r="O42" s="319"/>
      <c r="P42" s="598">
        <f t="shared" si="3"/>
        <v>-314620.66081529518</v>
      </c>
      <c r="Q42" s="599"/>
      <c r="R42" s="599"/>
      <c r="S42" s="600"/>
      <c r="T42" s="305">
        <f>PCS!D42</f>
        <v>419691.73387516692</v>
      </c>
      <c r="U42" s="300">
        <f>Police!U42</f>
        <v>62752.144285883987</v>
      </c>
      <c r="V42" s="333">
        <f t="shared" si="4"/>
        <v>167823.21734575572</v>
      </c>
      <c r="W42" s="177"/>
      <c r="X42" s="177"/>
      <c r="Y42" s="177"/>
      <c r="Z42" s="15"/>
    </row>
    <row r="43" spans="1:26" x14ac:dyDescent="0.25">
      <c r="A43" s="108">
        <f>Données!A43</f>
        <v>5475</v>
      </c>
      <c r="B43" s="116" t="str">
        <f>Données!B43</f>
        <v>Chavannes-le-Veyron</v>
      </c>
      <c r="C43" s="304">
        <f>Ressources!H43</f>
        <v>-175833.94083786308</v>
      </c>
      <c r="D43" s="304">
        <f>Ressources!L43</f>
        <v>0</v>
      </c>
      <c r="E43" s="332">
        <f>Ressources!T43</f>
        <v>-31183.089456403766</v>
      </c>
      <c r="F43" s="305">
        <f t="shared" si="0"/>
        <v>-207017.03029426685</v>
      </c>
      <c r="G43" s="304">
        <f>'Besoins structurels'!I43</f>
        <v>-15395</v>
      </c>
      <c r="H43" s="304">
        <f>'Besoins structurels'!N43</f>
        <v>0</v>
      </c>
      <c r="I43" s="304">
        <f>'Besoins structurels'!V43</f>
        <v>-38743</v>
      </c>
      <c r="J43" s="306">
        <f t="shared" si="1"/>
        <v>-54138</v>
      </c>
      <c r="K43" s="304">
        <f>'Charges des villes'!N43</f>
        <v>74808.659230738442</v>
      </c>
      <c r="L43" s="304">
        <f>'Charges des villes'!U43</f>
        <v>16185.076957576461</v>
      </c>
      <c r="M43" s="299">
        <f t="shared" si="2"/>
        <v>90993.736188314899</v>
      </c>
      <c r="N43" s="305">
        <f>-VLOOKUP(A43,Paramètres!$B$23:$C$316,2,FALSE)*$N$5</f>
        <v>-13575</v>
      </c>
      <c r="O43" s="319"/>
      <c r="P43" s="598">
        <f t="shared" si="3"/>
        <v>-183736.29410595197</v>
      </c>
      <c r="Q43" s="599"/>
      <c r="R43" s="599"/>
      <c r="S43" s="600"/>
      <c r="T43" s="305">
        <f>PCS!D43</f>
        <v>159502.7967221537</v>
      </c>
      <c r="U43" s="300">
        <f>Police!U43</f>
        <v>23848.795928126929</v>
      </c>
      <c r="V43" s="333">
        <f t="shared" si="4"/>
        <v>-384.70145567134023</v>
      </c>
      <c r="W43" s="177"/>
      <c r="X43" s="177"/>
      <c r="Y43" s="177"/>
      <c r="Z43" s="15"/>
    </row>
    <row r="44" spans="1:26" x14ac:dyDescent="0.25">
      <c r="A44" s="108">
        <f>Données!A44</f>
        <v>5476</v>
      </c>
      <c r="B44" s="116" t="str">
        <f>Données!B44</f>
        <v>Chevilly</v>
      </c>
      <c r="C44" s="304">
        <f>Ressources!H44</f>
        <v>-323157.65763600473</v>
      </c>
      <c r="D44" s="304">
        <f>Ressources!L44</f>
        <v>0</v>
      </c>
      <c r="E44" s="332">
        <f>Ressources!T44</f>
        <v>16500.193828379386</v>
      </c>
      <c r="F44" s="305">
        <f t="shared" si="0"/>
        <v>-306657.46380762535</v>
      </c>
      <c r="G44" s="304">
        <f>'Besoins structurels'!I44</f>
        <v>-13067</v>
      </c>
      <c r="H44" s="304">
        <f>'Besoins structurels'!N44</f>
        <v>0</v>
      </c>
      <c r="I44" s="304">
        <f>'Besoins structurels'!V44</f>
        <v>-40042</v>
      </c>
      <c r="J44" s="306">
        <f t="shared" si="1"/>
        <v>-53109</v>
      </c>
      <c r="K44" s="304">
        <f>'Charges des villes'!N44</f>
        <v>161306.17146627975</v>
      </c>
      <c r="L44" s="304">
        <f>'Charges des villes'!U44</f>
        <v>34899.072189774248</v>
      </c>
      <c r="M44" s="299">
        <f t="shared" si="2"/>
        <v>196205.24365605399</v>
      </c>
      <c r="N44" s="305">
        <f>-VLOOKUP(A44,Paramètres!$B$23:$C$316,2,FALSE)*$N$5</f>
        <v>0</v>
      </c>
      <c r="O44" s="319"/>
      <c r="P44" s="598">
        <f t="shared" si="3"/>
        <v>-163561.22015157135</v>
      </c>
      <c r="Q44" s="599"/>
      <c r="R44" s="599"/>
      <c r="S44" s="600"/>
      <c r="T44" s="305">
        <f>PCS!D44</f>
        <v>343927.90543214389</v>
      </c>
      <c r="U44" s="300">
        <f>Police!U44</f>
        <v>51423.966220023693</v>
      </c>
      <c r="V44" s="333">
        <f t="shared" si="4"/>
        <v>231790.65150059623</v>
      </c>
      <c r="W44" s="177"/>
      <c r="X44" s="177"/>
      <c r="Y44" s="177"/>
      <c r="Z44" s="15"/>
    </row>
    <row r="45" spans="1:26" x14ac:dyDescent="0.25">
      <c r="A45" s="108">
        <f>Données!A45</f>
        <v>5477</v>
      </c>
      <c r="B45" s="116" t="str">
        <f>Données!B45</f>
        <v>Cossonay</v>
      </c>
      <c r="C45" s="304">
        <f>Ressources!H45</f>
        <v>-5459873.6416084198</v>
      </c>
      <c r="D45" s="304">
        <f>Ressources!L45</f>
        <v>0</v>
      </c>
      <c r="E45" s="332">
        <f>Ressources!T45</f>
        <v>-204770.31441345206</v>
      </c>
      <c r="F45" s="305">
        <f t="shared" si="0"/>
        <v>-5664643.9560218714</v>
      </c>
      <c r="G45" s="304">
        <f>'Besoins structurels'!I45</f>
        <v>0</v>
      </c>
      <c r="H45" s="304">
        <f>'Besoins structurels'!N45</f>
        <v>0</v>
      </c>
      <c r="I45" s="304">
        <f>'Besoins structurels'!V45</f>
        <v>0</v>
      </c>
      <c r="J45" s="306">
        <f t="shared" si="1"/>
        <v>0</v>
      </c>
      <c r="K45" s="304">
        <f>'Charges des villes'!N45</f>
        <v>789118.64487415645</v>
      </c>
      <c r="L45" s="304">
        <f>'Charges des villes'!U45</f>
        <v>503153.57991865824</v>
      </c>
      <c r="M45" s="299">
        <f t="shared" si="2"/>
        <v>1292272.2247928148</v>
      </c>
      <c r="N45" s="305">
        <f>-VLOOKUP(A45,Paramètres!$B$23:$C$316,2,FALSE)*$N$5</f>
        <v>-145800</v>
      </c>
      <c r="O45" s="319"/>
      <c r="P45" s="598">
        <f t="shared" si="3"/>
        <v>-4518171.7312290566</v>
      </c>
      <c r="Q45" s="599"/>
      <c r="R45" s="599"/>
      <c r="S45" s="600"/>
      <c r="T45" s="305">
        <f>PCS!D45</f>
        <v>4958543.1930999532</v>
      </c>
      <c r="U45" s="300">
        <f>Police!U45</f>
        <v>865860.74905188067</v>
      </c>
      <c r="V45" s="333">
        <f t="shared" si="4"/>
        <v>1306232.2109227772</v>
      </c>
      <c r="W45" s="177"/>
      <c r="X45" s="177"/>
      <c r="Y45" s="177"/>
      <c r="Z45" s="15"/>
    </row>
    <row r="46" spans="1:26" x14ac:dyDescent="0.25">
      <c r="A46" s="108">
        <f>Données!A46</f>
        <v>5479</v>
      </c>
      <c r="B46" s="116" t="str">
        <f>Données!B46</f>
        <v>Cuarnens</v>
      </c>
      <c r="C46" s="304">
        <f>Ressources!H46</f>
        <v>-401444.81211791211</v>
      </c>
      <c r="D46" s="304">
        <f>Ressources!L46</f>
        <v>0</v>
      </c>
      <c r="E46" s="332">
        <f>Ressources!T46</f>
        <v>34384.704673644374</v>
      </c>
      <c r="F46" s="305">
        <f t="shared" si="0"/>
        <v>-367060.10744426772</v>
      </c>
      <c r="G46" s="304">
        <f>'Besoins structurels'!I46</f>
        <v>-30600</v>
      </c>
      <c r="H46" s="304">
        <f>'Besoins structurels'!N46</f>
        <v>0</v>
      </c>
      <c r="I46" s="304">
        <f>'Besoins structurels'!V46</f>
        <v>-71163</v>
      </c>
      <c r="J46" s="306">
        <f t="shared" si="1"/>
        <v>-101763</v>
      </c>
      <c r="K46" s="304">
        <f>'Charges des villes'!N46</f>
        <v>260427.64494700811</v>
      </c>
      <c r="L46" s="304">
        <f>'Charges des villes'!U46</f>
        <v>56344.299158563059</v>
      </c>
      <c r="M46" s="299">
        <f t="shared" si="2"/>
        <v>316771.94410557119</v>
      </c>
      <c r="N46" s="305">
        <f>-VLOOKUP(A46,Paramètres!$B$23:$C$316,2,FALSE)*$N$5</f>
        <v>-137775</v>
      </c>
      <c r="O46" s="319"/>
      <c r="P46" s="598">
        <f t="shared" si="3"/>
        <v>-289826.16333869653</v>
      </c>
      <c r="Q46" s="599"/>
      <c r="R46" s="599"/>
      <c r="S46" s="600"/>
      <c r="T46" s="305">
        <f>PCS!D46</f>
        <v>555269.11108899757</v>
      </c>
      <c r="U46" s="300">
        <f>Police!U46</f>
        <v>83023.620824791869</v>
      </c>
      <c r="V46" s="333">
        <f t="shared" si="4"/>
        <v>348466.56857509294</v>
      </c>
      <c r="W46" s="177"/>
      <c r="X46" s="177"/>
      <c r="Y46" s="177"/>
      <c r="Z46" s="15"/>
    </row>
    <row r="47" spans="1:26" x14ac:dyDescent="0.25">
      <c r="A47" s="108">
        <f>Données!A47</f>
        <v>5480</v>
      </c>
      <c r="B47" s="116" t="str">
        <f>Données!B47</f>
        <v>Daillens</v>
      </c>
      <c r="C47" s="304">
        <f>Ressources!H47</f>
        <v>-480468.59711267817</v>
      </c>
      <c r="D47" s="304">
        <f>Ressources!L47</f>
        <v>0</v>
      </c>
      <c r="E47" s="332">
        <f>Ressources!T47</f>
        <v>-64241.625562358706</v>
      </c>
      <c r="F47" s="305">
        <f t="shared" si="0"/>
        <v>-544710.22267503687</v>
      </c>
      <c r="G47" s="304">
        <f>'Besoins structurels'!I47</f>
        <v>0</v>
      </c>
      <c r="H47" s="304">
        <f>'Besoins structurels'!N47</f>
        <v>0</v>
      </c>
      <c r="I47" s="304">
        <f>'Besoins structurels'!V47</f>
        <v>-87521</v>
      </c>
      <c r="J47" s="306">
        <f t="shared" si="1"/>
        <v>-87521</v>
      </c>
      <c r="K47" s="304">
        <f>'Charges des villes'!N47</f>
        <v>493202.3500171476</v>
      </c>
      <c r="L47" s="304">
        <f>'Charges des villes'!U47</f>
        <v>112587.44158614126</v>
      </c>
      <c r="M47" s="299">
        <f t="shared" si="2"/>
        <v>605789.79160328885</v>
      </c>
      <c r="N47" s="305">
        <f>-VLOOKUP(A47,Paramètres!$B$23:$C$316,2,FALSE)*$N$5</f>
        <v>0</v>
      </c>
      <c r="O47" s="319"/>
      <c r="P47" s="598">
        <f t="shared" si="3"/>
        <v>-26441.431071748026</v>
      </c>
      <c r="Q47" s="599"/>
      <c r="R47" s="599"/>
      <c r="S47" s="600"/>
      <c r="T47" s="305">
        <f>PCS!D47</f>
        <v>1109541.3296984816</v>
      </c>
      <c r="U47" s="300">
        <f>Police!U47</f>
        <v>168733.12469899878</v>
      </c>
      <c r="V47" s="333">
        <f t="shared" si="4"/>
        <v>1251833.0233257324</v>
      </c>
      <c r="W47" s="177"/>
      <c r="X47" s="177"/>
      <c r="Y47" s="177"/>
      <c r="Z47" s="15"/>
    </row>
    <row r="48" spans="1:26" x14ac:dyDescent="0.25">
      <c r="A48" s="108">
        <f>Données!A48</f>
        <v>5481</v>
      </c>
      <c r="B48" s="116" t="str">
        <f>Données!B48</f>
        <v>Dizy</v>
      </c>
      <c r="C48" s="304">
        <f>Ressources!H48</f>
        <v>-188853.33855766786</v>
      </c>
      <c r="D48" s="304">
        <f>Ressources!L48</f>
        <v>0</v>
      </c>
      <c r="E48" s="332">
        <f>Ressources!T48</f>
        <v>-34318.436594253122</v>
      </c>
      <c r="F48" s="305">
        <f t="shared" si="0"/>
        <v>-223171.77515192097</v>
      </c>
      <c r="G48" s="304">
        <f>'Besoins structurels'!I48</f>
        <v>-13336</v>
      </c>
      <c r="H48" s="304">
        <f>'Besoins structurels'!N48</f>
        <v>0</v>
      </c>
      <c r="I48" s="304">
        <f>'Besoins structurels'!V48</f>
        <v>-8336</v>
      </c>
      <c r="J48" s="306">
        <f t="shared" si="1"/>
        <v>-21672</v>
      </c>
      <c r="K48" s="304">
        <f>'Charges des villes'!N48</f>
        <v>111745.43472591553</v>
      </c>
      <c r="L48" s="304">
        <f>'Charges des villes'!U48</f>
        <v>24176.458705379839</v>
      </c>
      <c r="M48" s="299">
        <f t="shared" si="2"/>
        <v>135921.89343129538</v>
      </c>
      <c r="N48" s="305">
        <f>-VLOOKUP(A48,Paramètres!$B$23:$C$316,2,FALSE)*$N$5</f>
        <v>0</v>
      </c>
      <c r="O48" s="319"/>
      <c r="P48" s="598">
        <f t="shared" si="3"/>
        <v>-108921.88172062559</v>
      </c>
      <c r="Q48" s="599"/>
      <c r="R48" s="599"/>
      <c r="S48" s="600"/>
      <c r="T48" s="305">
        <f>PCS!D48</f>
        <v>238257.30260371708</v>
      </c>
      <c r="U48" s="300">
        <f>Police!U48</f>
        <v>35624.138917639604</v>
      </c>
      <c r="V48" s="333">
        <f t="shared" si="4"/>
        <v>164959.55980073108</v>
      </c>
      <c r="W48" s="177"/>
      <c r="X48" s="177"/>
      <c r="Y48" s="177"/>
      <c r="Z48" s="15"/>
    </row>
    <row r="49" spans="1:26" x14ac:dyDescent="0.25">
      <c r="A49" s="108">
        <f>Données!A49</f>
        <v>5482</v>
      </c>
      <c r="B49" s="116" t="str">
        <f>Données!B49</f>
        <v>Eclépens</v>
      </c>
      <c r="C49" s="304">
        <f>Ressources!H49</f>
        <v>-666332.65674734418</v>
      </c>
      <c r="D49" s="304">
        <f>Ressources!L49</f>
        <v>0</v>
      </c>
      <c r="E49" s="332">
        <f>Ressources!T49</f>
        <v>50858.36139626673</v>
      </c>
      <c r="F49" s="305">
        <f t="shared" si="0"/>
        <v>-615474.29535107745</v>
      </c>
      <c r="G49" s="304">
        <f>'Besoins structurels'!I49</f>
        <v>0</v>
      </c>
      <c r="H49" s="304">
        <f>'Besoins structurels'!N49</f>
        <v>0</v>
      </c>
      <c r="I49" s="304">
        <f>'Besoins structurels'!V49</f>
        <v>0</v>
      </c>
      <c r="J49" s="306">
        <f t="shared" si="1"/>
        <v>0</v>
      </c>
      <c r="K49" s="304">
        <f>'Charges des villes'!N49</f>
        <v>513403.16819792538</v>
      </c>
      <c r="L49" s="304">
        <f>'Charges des villes'!U49</f>
        <v>121590.39064379317</v>
      </c>
      <c r="M49" s="299">
        <f t="shared" si="2"/>
        <v>634993.55884171859</v>
      </c>
      <c r="N49" s="305">
        <f>-VLOOKUP(A49,Paramètres!$B$23:$C$316,2,FALSE)*$N$5</f>
        <v>0</v>
      </c>
      <c r="O49" s="319"/>
      <c r="P49" s="598">
        <f t="shared" si="3"/>
        <v>19519.26349064114</v>
      </c>
      <c r="Q49" s="599"/>
      <c r="R49" s="599"/>
      <c r="S49" s="600"/>
      <c r="T49" s="305">
        <f>PCS!D49</f>
        <v>1198264.7603751796</v>
      </c>
      <c r="U49" s="300">
        <f>Police!U49</f>
        <v>184231.84472723142</v>
      </c>
      <c r="V49" s="333">
        <f t="shared" si="4"/>
        <v>1402015.8685930523</v>
      </c>
      <c r="W49" s="177"/>
      <c r="X49" s="177"/>
      <c r="Y49" s="177"/>
      <c r="Z49" s="15"/>
    </row>
    <row r="50" spans="1:26" x14ac:dyDescent="0.25">
      <c r="A50" s="108">
        <f>Données!A50</f>
        <v>5483</v>
      </c>
      <c r="B50" s="116" t="str">
        <f>Données!B50</f>
        <v>Ferreyres</v>
      </c>
      <c r="C50" s="304">
        <f>Ressources!H50</f>
        <v>-294508.39046323858</v>
      </c>
      <c r="D50" s="304">
        <f>Ressources!L50</f>
        <v>0</v>
      </c>
      <c r="E50" s="332">
        <f>Ressources!T50</f>
        <v>-33852.93282857725</v>
      </c>
      <c r="F50" s="305">
        <f t="shared" si="0"/>
        <v>-328361.32329181582</v>
      </c>
      <c r="G50" s="304">
        <f>'Besoins structurels'!I50</f>
        <v>-8978</v>
      </c>
      <c r="H50" s="304">
        <f>'Besoins structurels'!N50</f>
        <v>0</v>
      </c>
      <c r="I50" s="304">
        <f>'Besoins structurels'!V50</f>
        <v>-14548</v>
      </c>
      <c r="J50" s="306">
        <f t="shared" si="1"/>
        <v>-23526</v>
      </c>
      <c r="K50" s="304">
        <f>'Charges des villes'!N50</f>
        <v>144006.66901917147</v>
      </c>
      <c r="L50" s="304">
        <f>'Charges des villes'!U50</f>
        <v>31156.273143334689</v>
      </c>
      <c r="M50" s="299">
        <f t="shared" si="2"/>
        <v>175162.94216250617</v>
      </c>
      <c r="N50" s="305">
        <f>-VLOOKUP(A50,Paramètres!$B$23:$C$316,2,FALSE)*$N$5</f>
        <v>0</v>
      </c>
      <c r="O50" s="319"/>
      <c r="P50" s="598">
        <f t="shared" si="3"/>
        <v>-176724.38112930965</v>
      </c>
      <c r="Q50" s="599"/>
      <c r="R50" s="599"/>
      <c r="S50" s="600"/>
      <c r="T50" s="305">
        <f>PCS!D50</f>
        <v>307042.88369014586</v>
      </c>
      <c r="U50" s="300">
        <f>Police!U50</f>
        <v>45908.932161644334</v>
      </c>
      <c r="V50" s="333">
        <f t="shared" si="4"/>
        <v>176227.43472248054</v>
      </c>
      <c r="W50" s="177"/>
      <c r="X50" s="177"/>
      <c r="Y50" s="177"/>
      <c r="Z50" s="15"/>
    </row>
    <row r="51" spans="1:26" x14ac:dyDescent="0.25">
      <c r="A51" s="108">
        <f>Données!A51</f>
        <v>5484</v>
      </c>
      <c r="B51" s="116" t="str">
        <f>Données!B51</f>
        <v>Gollion</v>
      </c>
      <c r="C51" s="304">
        <f>Ressources!H51</f>
        <v>-1163035.0428558341</v>
      </c>
      <c r="D51" s="304">
        <f>Ressources!L51</f>
        <v>0</v>
      </c>
      <c r="E51" s="332">
        <f>Ressources!T51</f>
        <v>41380.331425396813</v>
      </c>
      <c r="F51" s="305">
        <f t="shared" si="0"/>
        <v>-1121654.7114304374</v>
      </c>
      <c r="G51" s="304">
        <f>'Besoins structurels'!I51</f>
        <v>0</v>
      </c>
      <c r="H51" s="304">
        <f>'Besoins structurels'!N51</f>
        <v>0</v>
      </c>
      <c r="I51" s="304">
        <f>'Besoins structurels'!V51</f>
        <v>-33616</v>
      </c>
      <c r="J51" s="306">
        <f t="shared" si="1"/>
        <v>-33616</v>
      </c>
      <c r="K51" s="304">
        <f>'Charges des villes'!N51</f>
        <v>488208.88934324752</v>
      </c>
      <c r="L51" s="304">
        <f>'Charges des villes'!U51</f>
        <v>110361.99350447449</v>
      </c>
      <c r="M51" s="299">
        <f t="shared" si="2"/>
        <v>598570.88284772204</v>
      </c>
      <c r="N51" s="305">
        <f>-VLOOKUP(A51,Paramètres!$B$23:$C$316,2,FALSE)*$N$5</f>
        <v>-102075</v>
      </c>
      <c r="O51" s="319"/>
      <c r="P51" s="598">
        <f t="shared" si="3"/>
        <v>-658774.82858271536</v>
      </c>
      <c r="Q51" s="599"/>
      <c r="R51" s="599"/>
      <c r="S51" s="600"/>
      <c r="T51" s="305">
        <f>PCS!D51</f>
        <v>1087609.6951491854</v>
      </c>
      <c r="U51" s="300">
        <f>Police!U51</f>
        <v>164901.98042235701</v>
      </c>
      <c r="V51" s="333">
        <f t="shared" si="4"/>
        <v>593736.84698882699</v>
      </c>
      <c r="W51" s="177"/>
      <c r="X51" s="177"/>
      <c r="Y51" s="177"/>
      <c r="Z51" s="15"/>
    </row>
    <row r="52" spans="1:26" x14ac:dyDescent="0.25">
      <c r="A52" s="108">
        <f>Données!A52</f>
        <v>5485</v>
      </c>
      <c r="B52" s="116" t="str">
        <f>Données!B52</f>
        <v>Grancy</v>
      </c>
      <c r="C52" s="304">
        <f>Ressources!H52</f>
        <v>-167681.71386874135</v>
      </c>
      <c r="D52" s="304">
        <f>Ressources!L52</f>
        <v>0</v>
      </c>
      <c r="E52" s="332">
        <f>Ressources!T52</f>
        <v>-20620.323880715223</v>
      </c>
      <c r="F52" s="305">
        <f t="shared" si="0"/>
        <v>-188302.03774945659</v>
      </c>
      <c r="G52" s="304">
        <f>'Besoins structurels'!I52</f>
        <v>-16807</v>
      </c>
      <c r="H52" s="304">
        <f>'Besoins structurels'!N52</f>
        <v>0</v>
      </c>
      <c r="I52" s="304">
        <f>'Besoins structurels'!V52</f>
        <v>-51400</v>
      </c>
      <c r="J52" s="306">
        <f t="shared" si="1"/>
        <v>-68207</v>
      </c>
      <c r="K52" s="304">
        <f>'Charges des villes'!N52</f>
        <v>252946.77902393427</v>
      </c>
      <c r="L52" s="304">
        <f>'Charges des villes'!U52</f>
        <v>54725.791462805413</v>
      </c>
      <c r="M52" s="299">
        <f t="shared" si="2"/>
        <v>307672.57048673969</v>
      </c>
      <c r="N52" s="305">
        <f>-VLOOKUP(A52,Paramètres!$B$23:$C$316,2,FALSE)*$N$5</f>
        <v>0</v>
      </c>
      <c r="O52" s="319"/>
      <c r="P52" s="598">
        <f t="shared" si="3"/>
        <v>51163.532737283094</v>
      </c>
      <c r="Q52" s="599"/>
      <c r="R52" s="599"/>
      <c r="S52" s="600"/>
      <c r="T52" s="305">
        <f>PCS!D52</f>
        <v>539318.83141678211</v>
      </c>
      <c r="U52" s="300">
        <f>Police!U52</f>
        <v>80638.741231979177</v>
      </c>
      <c r="V52" s="333">
        <f t="shared" si="4"/>
        <v>671121.10538604448</v>
      </c>
      <c r="W52" s="177"/>
      <c r="X52" s="177"/>
      <c r="Y52" s="177"/>
      <c r="Z52" s="15"/>
    </row>
    <row r="53" spans="1:26" x14ac:dyDescent="0.25">
      <c r="A53" s="108">
        <f>Données!A53</f>
        <v>5486</v>
      </c>
      <c r="B53" s="116" t="str">
        <f>Données!B53</f>
        <v>L'Isle</v>
      </c>
      <c r="C53" s="304">
        <f>Ressources!H53</f>
        <v>-1045034.3853013386</v>
      </c>
      <c r="D53" s="304">
        <f>Ressources!L53</f>
        <v>0</v>
      </c>
      <c r="E53" s="332">
        <f>Ressources!T53</f>
        <v>-57496.229929891007</v>
      </c>
      <c r="F53" s="305">
        <f t="shared" si="0"/>
        <v>-1102530.6152312297</v>
      </c>
      <c r="G53" s="304">
        <f>'Besoins structurels'!I53</f>
        <v>-84403</v>
      </c>
      <c r="H53" s="304">
        <f>'Besoins structurels'!N53</f>
        <v>-7677</v>
      </c>
      <c r="I53" s="304">
        <f>'Besoins structurels'!V53</f>
        <v>0</v>
      </c>
      <c r="J53" s="306">
        <f t="shared" si="1"/>
        <v>-92080</v>
      </c>
      <c r="K53" s="304">
        <f>'Charges des villes'!N53</f>
        <v>491613.52162090671</v>
      </c>
      <c r="L53" s="304">
        <f>'Charges des villes'!U53</f>
        <v>111879.34446924728</v>
      </c>
      <c r="M53" s="299">
        <f t="shared" si="2"/>
        <v>603492.86609015404</v>
      </c>
      <c r="N53" s="305">
        <f>-VLOOKUP(A53,Paramètres!$B$23:$C$316,2,FALSE)*$N$5</f>
        <v>-138450</v>
      </c>
      <c r="O53" s="319"/>
      <c r="P53" s="598">
        <f t="shared" si="3"/>
        <v>-729567.74914107565</v>
      </c>
      <c r="Q53" s="599"/>
      <c r="R53" s="599"/>
      <c r="S53" s="600"/>
      <c r="T53" s="305">
        <f>PCS!D53</f>
        <v>1102563.0823418873</v>
      </c>
      <c r="U53" s="300">
        <f>Police!U53</f>
        <v>167514.12424734002</v>
      </c>
      <c r="V53" s="333">
        <f t="shared" si="4"/>
        <v>540509.45744815166</v>
      </c>
      <c r="W53" s="177"/>
      <c r="X53" s="177"/>
      <c r="Y53" s="177"/>
      <c r="Z53" s="15"/>
    </row>
    <row r="54" spans="1:26" x14ac:dyDescent="0.25">
      <c r="A54" s="108">
        <f>Données!A54</f>
        <v>5487</v>
      </c>
      <c r="B54" s="116" t="str">
        <f>Données!B54</f>
        <v>Lussery-Villars</v>
      </c>
      <c r="C54" s="304">
        <f>Ressources!H54</f>
        <v>-407425.13178070786</v>
      </c>
      <c r="D54" s="304">
        <f>Ressources!L54</f>
        <v>0</v>
      </c>
      <c r="E54" s="332">
        <f>Ressources!T54</f>
        <v>7959.7926246664574</v>
      </c>
      <c r="F54" s="305">
        <f t="shared" si="0"/>
        <v>-399465.33915604139</v>
      </c>
      <c r="G54" s="304">
        <f>'Besoins structurels'!I54</f>
        <v>-1625</v>
      </c>
      <c r="H54" s="304">
        <f>'Besoins structurels'!N54</f>
        <v>0</v>
      </c>
      <c r="I54" s="304">
        <f>'Besoins structurels'!V54</f>
        <v>0</v>
      </c>
      <c r="J54" s="306">
        <f t="shared" si="1"/>
        <v>-1625</v>
      </c>
      <c r="K54" s="304">
        <f>'Charges des villes'!N54</f>
        <v>219282.88237010202</v>
      </c>
      <c r="L54" s="304">
        <f>'Charges des villes'!U54</f>
        <v>47442.506831896004</v>
      </c>
      <c r="M54" s="299">
        <f t="shared" si="2"/>
        <v>266725.38920199801</v>
      </c>
      <c r="N54" s="305">
        <f>-VLOOKUP(A54,Paramètres!$B$23:$C$316,2,FALSE)*$N$5</f>
        <v>0</v>
      </c>
      <c r="O54" s="319"/>
      <c r="P54" s="598">
        <f t="shared" si="3"/>
        <v>-134364.94995404338</v>
      </c>
      <c r="Q54" s="599"/>
      <c r="R54" s="599"/>
      <c r="S54" s="600"/>
      <c r="T54" s="305">
        <f>PCS!D54</f>
        <v>467542.572891813</v>
      </c>
      <c r="U54" s="300">
        <f>Police!U54</f>
        <v>69906.783064322066</v>
      </c>
      <c r="V54" s="333">
        <f t="shared" si="4"/>
        <v>403084.40600209171</v>
      </c>
      <c r="W54" s="177"/>
      <c r="X54" s="177"/>
      <c r="Y54" s="177"/>
      <c r="Z54" s="15"/>
    </row>
    <row r="55" spans="1:26" x14ac:dyDescent="0.25">
      <c r="A55" s="108">
        <f>Données!A55</f>
        <v>5488</v>
      </c>
      <c r="B55" s="116" t="str">
        <f>Données!B55</f>
        <v>Mauraz</v>
      </c>
      <c r="C55" s="304">
        <f>Ressources!H55</f>
        <v>-89195.540198103175</v>
      </c>
      <c r="D55" s="304">
        <f>Ressources!L55</f>
        <v>0</v>
      </c>
      <c r="E55" s="332">
        <f>Ressources!T55</f>
        <v>-14602.796686086742</v>
      </c>
      <c r="F55" s="305">
        <f t="shared" si="0"/>
        <v>-103798.33688418992</v>
      </c>
      <c r="G55" s="304">
        <f>'Besoins structurels'!I55</f>
        <v>0</v>
      </c>
      <c r="H55" s="304">
        <f>'Besoins structurels'!N55</f>
        <v>0</v>
      </c>
      <c r="I55" s="304">
        <f>'Besoins structurels'!V55</f>
        <v>0</v>
      </c>
      <c r="J55" s="306">
        <f t="shared" si="1"/>
        <v>0</v>
      </c>
      <c r="K55" s="304">
        <f>'Charges des villes'!N55</f>
        <v>34599.004894216523</v>
      </c>
      <c r="L55" s="304">
        <f>'Charges des villes'!U55</f>
        <v>7485.5980928791132</v>
      </c>
      <c r="M55" s="299">
        <f t="shared" si="2"/>
        <v>42084.602987095634</v>
      </c>
      <c r="N55" s="305">
        <f>-VLOOKUP(A55,Paramètres!$B$23:$C$316,2,FALSE)*$N$5</f>
        <v>0</v>
      </c>
      <c r="O55" s="319"/>
      <c r="P55" s="598">
        <f t="shared" si="3"/>
        <v>-61713.733897094287</v>
      </c>
      <c r="Q55" s="599"/>
      <c r="R55" s="599"/>
      <c r="S55" s="600"/>
      <c r="T55" s="305">
        <f>PCS!D55</f>
        <v>73770.04348399608</v>
      </c>
      <c r="U55" s="300">
        <f>Police!U55</f>
        <v>11030.068116758704</v>
      </c>
      <c r="V55" s="333">
        <f t="shared" si="4"/>
        <v>23086.377703660495</v>
      </c>
      <c r="W55" s="177"/>
      <c r="X55" s="177"/>
      <c r="Y55" s="177"/>
      <c r="Z55" s="15"/>
    </row>
    <row r="56" spans="1:26" x14ac:dyDescent="0.25">
      <c r="A56" s="108">
        <f>Données!A56</f>
        <v>5489</v>
      </c>
      <c r="B56" s="116" t="str">
        <f>Données!B56</f>
        <v>Mex</v>
      </c>
      <c r="C56" s="304">
        <f>Ressources!H56</f>
        <v>2263506.9587251302</v>
      </c>
      <c r="D56" s="304">
        <f>Ressources!L56</f>
        <v>0</v>
      </c>
      <c r="E56" s="332">
        <f>Ressources!T56</f>
        <v>-19480.149811889481</v>
      </c>
      <c r="F56" s="305">
        <f t="shared" si="0"/>
        <v>2244026.8089132407</v>
      </c>
      <c r="G56" s="304">
        <f>'Besoins structurels'!I56</f>
        <v>0</v>
      </c>
      <c r="H56" s="304">
        <f>'Besoins structurels'!N56</f>
        <v>0</v>
      </c>
      <c r="I56" s="304">
        <f>'Besoins structurels'!V56</f>
        <v>0</v>
      </c>
      <c r="J56" s="306">
        <f t="shared" si="1"/>
        <v>0</v>
      </c>
      <c r="K56" s="304">
        <f>'Charges des villes'!N56</f>
        <v>387134.81151907134</v>
      </c>
      <c r="L56" s="304">
        <f>'Charges des villes'!U56</f>
        <v>83757.773255458189</v>
      </c>
      <c r="M56" s="299">
        <f t="shared" si="2"/>
        <v>470892.58477452956</v>
      </c>
      <c r="N56" s="305">
        <f>-VLOOKUP(A56,Paramètres!$B$23:$C$316,2,FALSE)*$N$5</f>
        <v>0</v>
      </c>
      <c r="O56" s="319"/>
      <c r="P56" s="598">
        <f t="shared" si="3"/>
        <v>2714919.3936877702</v>
      </c>
      <c r="Q56" s="599"/>
      <c r="R56" s="599"/>
      <c r="S56" s="600"/>
      <c r="T56" s="305">
        <f>PCS!D56</f>
        <v>825426.97303714533</v>
      </c>
      <c r="U56" s="300">
        <f>Police!U56</f>
        <v>123417.51892805684</v>
      </c>
      <c r="V56" s="333">
        <f t="shared" si="4"/>
        <v>3663763.8856529729</v>
      </c>
      <c r="W56" s="177"/>
      <c r="X56" s="177"/>
      <c r="Y56" s="177"/>
      <c r="Z56" s="15"/>
    </row>
    <row r="57" spans="1:26" x14ac:dyDescent="0.25">
      <c r="A57" s="108">
        <f>Données!A57</f>
        <v>5490</v>
      </c>
      <c r="B57" s="116" t="str">
        <f>Données!B57</f>
        <v>Moiry</v>
      </c>
      <c r="C57" s="304">
        <f>Ressources!H57</f>
        <v>-364468.94886888802</v>
      </c>
      <c r="D57" s="304">
        <f>Ressources!L57</f>
        <v>0</v>
      </c>
      <c r="E57" s="332">
        <f>Ressources!T57</f>
        <v>-46752.176653994451</v>
      </c>
      <c r="F57" s="305">
        <f t="shared" si="0"/>
        <v>-411221.12552288244</v>
      </c>
      <c r="G57" s="304">
        <f>'Besoins structurels'!I57</f>
        <v>-47658</v>
      </c>
      <c r="H57" s="304">
        <f>'Besoins structurels'!N57</f>
        <v>0</v>
      </c>
      <c r="I57" s="304">
        <f>'Besoins structurels'!V57</f>
        <v>-15278</v>
      </c>
      <c r="J57" s="306">
        <f t="shared" si="1"/>
        <v>-62936</v>
      </c>
      <c r="K57" s="304">
        <f>'Charges des villes'!N57</f>
        <v>137928.46545667396</v>
      </c>
      <c r="L57" s="304">
        <f>'Charges des villes'!U57</f>
        <v>29841.235640531602</v>
      </c>
      <c r="M57" s="299">
        <f t="shared" si="2"/>
        <v>167769.70109720557</v>
      </c>
      <c r="N57" s="305">
        <f>-VLOOKUP(A57,Paramètres!$B$23:$C$316,2,FALSE)*$N$5</f>
        <v>0</v>
      </c>
      <c r="O57" s="319"/>
      <c r="P57" s="598">
        <f t="shared" si="3"/>
        <v>-306387.42442567687</v>
      </c>
      <c r="Q57" s="599"/>
      <c r="R57" s="599"/>
      <c r="S57" s="600"/>
      <c r="T57" s="305">
        <f>PCS!D57</f>
        <v>294083.28145647084</v>
      </c>
      <c r="U57" s="300">
        <f>Police!U57</f>
        <v>43971.217492484029</v>
      </c>
      <c r="V57" s="333">
        <f t="shared" si="4"/>
        <v>31667.074523277995</v>
      </c>
      <c r="W57" s="177"/>
      <c r="X57" s="177"/>
      <c r="Y57" s="177"/>
      <c r="Z57" s="15"/>
    </row>
    <row r="58" spans="1:26" x14ac:dyDescent="0.25">
      <c r="A58" s="108">
        <f>Données!A58</f>
        <v>5491</v>
      </c>
      <c r="B58" s="116" t="str">
        <f>Données!B58</f>
        <v>Mont-la-Ville</v>
      </c>
      <c r="C58" s="304">
        <f>Ressources!H58</f>
        <v>-789891.65865388676</v>
      </c>
      <c r="D58" s="304">
        <f>Ressources!L58</f>
        <v>-24682</v>
      </c>
      <c r="E58" s="332">
        <f>Ressources!T58</f>
        <v>-43796.035537671851</v>
      </c>
      <c r="F58" s="305">
        <f t="shared" si="0"/>
        <v>-858369.69419155864</v>
      </c>
      <c r="G58" s="304">
        <f>'Besoins structurels'!I58</f>
        <v>-171072</v>
      </c>
      <c r="H58" s="304">
        <f>'Besoins structurels'!N58</f>
        <v>-44163</v>
      </c>
      <c r="I58" s="304">
        <f>'Besoins structurels'!V58</f>
        <v>-6659</v>
      </c>
      <c r="J58" s="306">
        <f t="shared" si="1"/>
        <v>-221894</v>
      </c>
      <c r="K58" s="304">
        <f>'Charges des villes'!N58</f>
        <v>235647.27657682606</v>
      </c>
      <c r="L58" s="304">
        <f>'Charges des villes'!U58</f>
        <v>50982.992416365851</v>
      </c>
      <c r="M58" s="299">
        <f t="shared" si="2"/>
        <v>286630.26899319189</v>
      </c>
      <c r="N58" s="305">
        <f>-VLOOKUP(A58,Paramètres!$B$23:$C$316,2,FALSE)*$N$5</f>
        <v>0</v>
      </c>
      <c r="O58" s="319"/>
      <c r="P58" s="598">
        <f t="shared" si="3"/>
        <v>-793633.42519836687</v>
      </c>
      <c r="Q58" s="599"/>
      <c r="R58" s="599"/>
      <c r="S58" s="600"/>
      <c r="T58" s="305">
        <f>PCS!D58</f>
        <v>502433.80967478413</v>
      </c>
      <c r="U58" s="300">
        <f>Police!U58</f>
        <v>75123.707173599832</v>
      </c>
      <c r="V58" s="333">
        <f t="shared" si="4"/>
        <v>-216075.9083499829</v>
      </c>
      <c r="W58" s="177"/>
      <c r="X58" s="177"/>
      <c r="Y58" s="177"/>
      <c r="Z58" s="15"/>
    </row>
    <row r="59" spans="1:26" x14ac:dyDescent="0.25">
      <c r="A59" s="108">
        <f>Données!A59</f>
        <v>5492</v>
      </c>
      <c r="B59" s="116" t="str">
        <f>Données!B59</f>
        <v>Montricher</v>
      </c>
      <c r="C59" s="304">
        <f>Ressources!H59</f>
        <v>7395917.6359530482</v>
      </c>
      <c r="D59" s="304">
        <f>Ressources!L59</f>
        <v>0</v>
      </c>
      <c r="E59" s="332">
        <f>Ressources!T59</f>
        <v>-39432.000563839771</v>
      </c>
      <c r="F59" s="305">
        <f t="shared" si="0"/>
        <v>7356485.6353892088</v>
      </c>
      <c r="G59" s="304">
        <f>'Besoins structurels'!I59</f>
        <v>-199802</v>
      </c>
      <c r="H59" s="304">
        <f>'Besoins structurels'!N59</f>
        <v>-117613</v>
      </c>
      <c r="I59" s="304">
        <f>'Besoins structurels'!V59</f>
        <v>0</v>
      </c>
      <c r="J59" s="306">
        <f t="shared" si="1"/>
        <v>-317415</v>
      </c>
      <c r="K59" s="304">
        <f>'Charges des villes'!N59</f>
        <v>442773.75182193308</v>
      </c>
      <c r="L59" s="304">
        <f>'Charges des villes'!U59</f>
        <v>95795.424242655688</v>
      </c>
      <c r="M59" s="299">
        <f t="shared" si="2"/>
        <v>538569.17606458883</v>
      </c>
      <c r="N59" s="305">
        <f>-VLOOKUP(A59,Paramètres!$B$23:$C$316,2,FALSE)*$N$5</f>
        <v>0</v>
      </c>
      <c r="O59" s="319"/>
      <c r="P59" s="598">
        <f t="shared" si="3"/>
        <v>7577639.8114537979</v>
      </c>
      <c r="Q59" s="599"/>
      <c r="R59" s="599"/>
      <c r="S59" s="600"/>
      <c r="T59" s="305">
        <f>PCS!D59</f>
        <v>944057.17809924716</v>
      </c>
      <c r="U59" s="300">
        <f>Police!U59</f>
        <v>141155.06089960126</v>
      </c>
      <c r="V59" s="333">
        <f t="shared" si="4"/>
        <v>8662852.0504526459</v>
      </c>
      <c r="W59" s="177"/>
      <c r="X59" s="177"/>
      <c r="Y59" s="177"/>
      <c r="Z59" s="15"/>
    </row>
    <row r="60" spans="1:26" x14ac:dyDescent="0.25">
      <c r="A60" s="108">
        <f>Données!A60</f>
        <v>5493</v>
      </c>
      <c r="B60" s="116" t="str">
        <f>Données!B60</f>
        <v>Orny</v>
      </c>
      <c r="C60" s="304">
        <f>Ressources!H60</f>
        <v>-538690.0403447852</v>
      </c>
      <c r="D60" s="304">
        <f>Ressources!L60</f>
        <v>0</v>
      </c>
      <c r="E60" s="332">
        <f>Ressources!T60</f>
        <v>-6533.9424350748595</v>
      </c>
      <c r="F60" s="305">
        <f t="shared" si="0"/>
        <v>-545223.98277986003</v>
      </c>
      <c r="G60" s="304">
        <f>'Besoins structurels'!I60</f>
        <v>-16166</v>
      </c>
      <c r="H60" s="304">
        <f>'Besoins structurels'!N60</f>
        <v>0</v>
      </c>
      <c r="I60" s="304">
        <f>'Besoins structurels'!V60</f>
        <v>0</v>
      </c>
      <c r="J60" s="306">
        <f t="shared" si="1"/>
        <v>-16166</v>
      </c>
      <c r="K60" s="304">
        <f>'Charges des villes'!N60</f>
        <v>245465.91310086043</v>
      </c>
      <c r="L60" s="304">
        <f>'Charges des villes'!U60</f>
        <v>53107.283767047767</v>
      </c>
      <c r="M60" s="299">
        <f t="shared" si="2"/>
        <v>298573.19686790818</v>
      </c>
      <c r="N60" s="305">
        <f>-VLOOKUP(A60,Paramètres!$B$23:$C$316,2,FALSE)*$N$5</f>
        <v>0</v>
      </c>
      <c r="O60" s="319"/>
      <c r="P60" s="598">
        <f t="shared" si="3"/>
        <v>-262816.78591195185</v>
      </c>
      <c r="Q60" s="599"/>
      <c r="R60" s="599"/>
      <c r="S60" s="600"/>
      <c r="T60" s="305">
        <f>PCS!D60</f>
        <v>523368.55174456676</v>
      </c>
      <c r="U60" s="300">
        <f>Police!U60</f>
        <v>78253.861639166484</v>
      </c>
      <c r="V60" s="333">
        <f t="shared" si="4"/>
        <v>338805.62747178139</v>
      </c>
      <c r="W60" s="177"/>
      <c r="X60" s="177"/>
      <c r="Y60" s="177"/>
      <c r="Z60" s="15"/>
    </row>
    <row r="61" spans="1:26" x14ac:dyDescent="0.25">
      <c r="A61" s="108">
        <f>Données!A61</f>
        <v>5495</v>
      </c>
      <c r="B61" s="116" t="str">
        <f>Données!B61</f>
        <v>Penthalaz</v>
      </c>
      <c r="C61" s="304">
        <f>Ressources!H61</f>
        <v>-3668356.5294884364</v>
      </c>
      <c r="D61" s="304">
        <f>Ressources!L61</f>
        <v>0</v>
      </c>
      <c r="E61" s="332">
        <f>Ressources!T61</f>
        <v>-207633.91903772275</v>
      </c>
      <c r="F61" s="305">
        <f t="shared" si="0"/>
        <v>-3875990.4485261589</v>
      </c>
      <c r="G61" s="304">
        <f>'Besoins structurels'!I61</f>
        <v>0</v>
      </c>
      <c r="H61" s="304">
        <f>'Besoins structurels'!N61</f>
        <v>0</v>
      </c>
      <c r="I61" s="304">
        <f>'Besoins structurels'!V61</f>
        <v>-30828</v>
      </c>
      <c r="J61" s="306">
        <f t="shared" si="1"/>
        <v>-30828</v>
      </c>
      <c r="K61" s="304">
        <f>'Charges des villes'!N61</f>
        <v>908159.14186945267</v>
      </c>
      <c r="L61" s="304">
        <f>'Charges des villes'!U61</f>
        <v>323600.3824205444</v>
      </c>
      <c r="M61" s="299">
        <f t="shared" si="2"/>
        <v>1231759.5242899971</v>
      </c>
      <c r="N61" s="305">
        <f>-VLOOKUP(A61,Paramètres!$B$23:$C$316,2,FALSE)*$N$5</f>
        <v>-134400</v>
      </c>
      <c r="O61" s="319"/>
      <c r="P61" s="598">
        <f t="shared" si="3"/>
        <v>-2809458.9242361616</v>
      </c>
      <c r="Q61" s="599"/>
      <c r="R61" s="599"/>
      <c r="S61" s="600"/>
      <c r="T61" s="305">
        <f>PCS!D61</f>
        <v>3189059.0419635605</v>
      </c>
      <c r="U61" s="300">
        <f>Police!U61</f>
        <v>534491.51003122213</v>
      </c>
      <c r="V61" s="333">
        <f t="shared" si="4"/>
        <v>914091.62775862101</v>
      </c>
      <c r="W61" s="177"/>
      <c r="X61" s="177"/>
      <c r="Y61" s="177"/>
      <c r="Z61" s="15"/>
    </row>
    <row r="62" spans="1:26" x14ac:dyDescent="0.25">
      <c r="A62" s="108">
        <f>Données!A62</f>
        <v>5496</v>
      </c>
      <c r="B62" s="116" t="str">
        <f>Données!B62</f>
        <v>Penthaz</v>
      </c>
      <c r="C62" s="304">
        <f>Ressources!H62</f>
        <v>-1798334.0876622426</v>
      </c>
      <c r="D62" s="304">
        <f>Ressources!L62</f>
        <v>0</v>
      </c>
      <c r="E62" s="332">
        <f>Ressources!T62</f>
        <v>-195785.03257331997</v>
      </c>
      <c r="F62" s="305">
        <f t="shared" si="0"/>
        <v>-1994119.1202355626</v>
      </c>
      <c r="G62" s="304">
        <f>'Besoins structurels'!I62</f>
        <v>0</v>
      </c>
      <c r="H62" s="304">
        <f>'Besoins structurels'!N62</f>
        <v>0</v>
      </c>
      <c r="I62" s="304">
        <f>'Besoins structurels'!V62</f>
        <v>-171998</v>
      </c>
      <c r="J62" s="306">
        <f t="shared" si="1"/>
        <v>-171998</v>
      </c>
      <c r="K62" s="304">
        <f>'Charges des villes'!N62</f>
        <v>674101.81170343864</v>
      </c>
      <c r="L62" s="304">
        <f>'Charges des villes'!U62</f>
        <v>193209.35618106902</v>
      </c>
      <c r="M62" s="299">
        <f t="shared" si="2"/>
        <v>867311.16788450768</v>
      </c>
      <c r="N62" s="305">
        <f>-VLOOKUP(A62,Paramètres!$B$23:$C$316,2,FALSE)*$N$5</f>
        <v>0</v>
      </c>
      <c r="O62" s="319"/>
      <c r="P62" s="598">
        <f t="shared" si="3"/>
        <v>-1298805.9523510546</v>
      </c>
      <c r="Q62" s="599"/>
      <c r="R62" s="599"/>
      <c r="S62" s="600"/>
      <c r="T62" s="305">
        <f>PCS!D62</f>
        <v>1904064.6358707095</v>
      </c>
      <c r="U62" s="300">
        <f>Police!U62</f>
        <v>307525.03326643037</v>
      </c>
      <c r="V62" s="333">
        <f t="shared" si="4"/>
        <v>912783.71678608528</v>
      </c>
      <c r="W62" s="177"/>
      <c r="X62" s="177"/>
      <c r="Y62" s="177"/>
      <c r="Z62" s="15"/>
    </row>
    <row r="63" spans="1:26" x14ac:dyDescent="0.25">
      <c r="A63" s="108">
        <f>Données!A63</f>
        <v>5497</v>
      </c>
      <c r="B63" s="116" t="str">
        <f>Données!B63</f>
        <v>Pompaples</v>
      </c>
      <c r="C63" s="304">
        <f>Ressources!H63</f>
        <v>-1155577.0096067975</v>
      </c>
      <c r="D63" s="304">
        <f>Ressources!L63</f>
        <v>0</v>
      </c>
      <c r="E63" s="332">
        <f>Ressources!T63</f>
        <v>-55067.13785326411</v>
      </c>
      <c r="F63" s="305">
        <f t="shared" si="0"/>
        <v>-1210644.1474600616</v>
      </c>
      <c r="G63" s="304">
        <f>'Besoins structurels'!I63</f>
        <v>0</v>
      </c>
      <c r="H63" s="304">
        <f>'Besoins structurels'!N63</f>
        <v>0</v>
      </c>
      <c r="I63" s="304">
        <f>'Besoins structurels'!V63</f>
        <v>0</v>
      </c>
      <c r="J63" s="306">
        <f t="shared" si="1"/>
        <v>0</v>
      </c>
      <c r="K63" s="304">
        <f>'Charges des villes'!N63</f>
        <v>428747.1282161696</v>
      </c>
      <c r="L63" s="304">
        <f>'Charges des villes'!U63</f>
        <v>92760.722313110091</v>
      </c>
      <c r="M63" s="299">
        <f t="shared" si="2"/>
        <v>521507.85052927968</v>
      </c>
      <c r="N63" s="305">
        <f>-VLOOKUP(A63,Paramètres!$B$23:$C$316,2,FALSE)*$N$5</f>
        <v>0</v>
      </c>
      <c r="O63" s="319"/>
      <c r="P63" s="598">
        <f t="shared" si="3"/>
        <v>-689136.29693078191</v>
      </c>
      <c r="Q63" s="599"/>
      <c r="R63" s="599"/>
      <c r="S63" s="600"/>
      <c r="T63" s="305">
        <f>PCS!D63</f>
        <v>914150.40371384332</v>
      </c>
      <c r="U63" s="300">
        <f>Police!U63</f>
        <v>136683.41166307745</v>
      </c>
      <c r="V63" s="333">
        <f t="shared" si="4"/>
        <v>361697.51844613883</v>
      </c>
      <c r="W63" s="177"/>
      <c r="X63" s="177"/>
      <c r="Y63" s="177"/>
      <c r="Z63" s="15"/>
    </row>
    <row r="64" spans="1:26" x14ac:dyDescent="0.25">
      <c r="A64" s="108">
        <f>Données!A64</f>
        <v>5498</v>
      </c>
      <c r="B64" s="116" t="str">
        <f>Données!B64</f>
        <v>La Sarraz</v>
      </c>
      <c r="C64" s="304">
        <f>Ressources!H64</f>
        <v>-3003996.7391000031</v>
      </c>
      <c r="D64" s="304">
        <f>Ressources!L64</f>
        <v>0</v>
      </c>
      <c r="E64" s="332">
        <f>Ressources!T64</f>
        <v>-315460.36072973389</v>
      </c>
      <c r="F64" s="305">
        <f t="shared" si="0"/>
        <v>-3319457.0998297371</v>
      </c>
      <c r="G64" s="304">
        <f>'Besoins structurels'!I64</f>
        <v>0</v>
      </c>
      <c r="H64" s="304">
        <f>'Besoins structurels'!N64</f>
        <v>0</v>
      </c>
      <c r="I64" s="304">
        <f>'Besoins structurels'!V64</f>
        <v>0</v>
      </c>
      <c r="J64" s="306">
        <f t="shared" si="1"/>
        <v>0</v>
      </c>
      <c r="K64" s="304">
        <f>'Charges des villes'!N64</f>
        <v>832757.67584235594</v>
      </c>
      <c r="L64" s="304">
        <f>'Charges des villes'!U64</f>
        <v>263917.91113948118</v>
      </c>
      <c r="M64" s="299">
        <f t="shared" si="2"/>
        <v>1096675.5869818372</v>
      </c>
      <c r="N64" s="305">
        <f>-VLOOKUP(A64,Paramètres!$B$23:$C$316,2,FALSE)*$N$5</f>
        <v>-29625</v>
      </c>
      <c r="O64" s="319"/>
      <c r="P64" s="598">
        <f t="shared" si="3"/>
        <v>-2252406.5128478999</v>
      </c>
      <c r="Q64" s="599"/>
      <c r="R64" s="599"/>
      <c r="S64" s="600"/>
      <c r="T64" s="305">
        <f>PCS!D64</f>
        <v>2600892.4790506186</v>
      </c>
      <c r="U64" s="300">
        <f>Police!U64</f>
        <v>429250.93551063945</v>
      </c>
      <c r="V64" s="333">
        <f t="shared" si="4"/>
        <v>777736.90171335812</v>
      </c>
      <c r="W64" s="177"/>
      <c r="X64" s="177"/>
      <c r="Y64" s="177"/>
      <c r="Z64" s="15"/>
    </row>
    <row r="65" spans="1:26" x14ac:dyDescent="0.25">
      <c r="A65" s="108">
        <f>Données!A65</f>
        <v>5499</v>
      </c>
      <c r="B65" s="116" t="str">
        <f>Données!B65</f>
        <v>Senarclens</v>
      </c>
      <c r="C65" s="304">
        <f>Ressources!H65</f>
        <v>-186725.19116441233</v>
      </c>
      <c r="D65" s="304">
        <f>Ressources!L65</f>
        <v>0</v>
      </c>
      <c r="E65" s="332">
        <f>Ressources!T65</f>
        <v>-5527.1806280243763</v>
      </c>
      <c r="F65" s="305">
        <f t="shared" si="0"/>
        <v>-192252.37179243669</v>
      </c>
      <c r="G65" s="304">
        <f>'Besoins structurels'!I65</f>
        <v>-1304</v>
      </c>
      <c r="H65" s="304">
        <f>'Besoins structurels'!N65</f>
        <v>0</v>
      </c>
      <c r="I65" s="304">
        <f>'Besoins structurels'!V65</f>
        <v>-35160</v>
      </c>
      <c r="J65" s="306">
        <f t="shared" si="1"/>
        <v>-36464</v>
      </c>
      <c r="K65" s="304">
        <f>'Charges des villes'!N65</f>
        <v>236114.83069701819</v>
      </c>
      <c r="L65" s="304">
        <f>'Charges des villes'!U65</f>
        <v>51084.149147350705</v>
      </c>
      <c r="M65" s="299">
        <f t="shared" si="2"/>
        <v>287198.97984436888</v>
      </c>
      <c r="N65" s="305">
        <f>-VLOOKUP(A65,Paramètres!$B$23:$C$316,2,FALSE)*$N$5</f>
        <v>0</v>
      </c>
      <c r="O65" s="319"/>
      <c r="P65" s="598">
        <f t="shared" si="3"/>
        <v>58482.608051932184</v>
      </c>
      <c r="Q65" s="599"/>
      <c r="R65" s="599"/>
      <c r="S65" s="600"/>
      <c r="T65" s="305">
        <f>PCS!D65</f>
        <v>503430.70215429756</v>
      </c>
      <c r="U65" s="300">
        <f>Police!U65</f>
        <v>75272.762148150621</v>
      </c>
      <c r="V65" s="333">
        <f t="shared" si="4"/>
        <v>637186.07235438039</v>
      </c>
      <c r="W65" s="177"/>
      <c r="X65" s="177"/>
      <c r="Y65" s="177"/>
      <c r="Z65" s="15"/>
    </row>
    <row r="66" spans="1:26" x14ac:dyDescent="0.25">
      <c r="A66" s="108">
        <f>Données!A66</f>
        <v>5501</v>
      </c>
      <c r="B66" s="116" t="str">
        <f>Données!B66</f>
        <v>Sullens</v>
      </c>
      <c r="C66" s="304">
        <f>Ressources!H66</f>
        <v>-404789.5965153671</v>
      </c>
      <c r="D66" s="304">
        <f>Ressources!L66</f>
        <v>0</v>
      </c>
      <c r="E66" s="332">
        <f>Ressources!T66</f>
        <v>-18131.235831935162</v>
      </c>
      <c r="F66" s="305">
        <f t="shared" si="0"/>
        <v>-422920.83234730223</v>
      </c>
      <c r="G66" s="304">
        <f>'Besoins structurels'!I66</f>
        <v>0</v>
      </c>
      <c r="H66" s="304">
        <f>'Besoins structurels'!N66</f>
        <v>0</v>
      </c>
      <c r="I66" s="304">
        <f>'Besoins structurels'!V66</f>
        <v>-16451</v>
      </c>
      <c r="J66" s="306">
        <f t="shared" si="1"/>
        <v>-16451</v>
      </c>
      <c r="K66" s="304">
        <f>'Charges des villes'!N66</f>
        <v>531561.20701210771</v>
      </c>
      <c r="L66" s="304">
        <f>'Charges des villes'!U66</f>
        <v>129682.92912258139</v>
      </c>
      <c r="M66" s="299">
        <f t="shared" si="2"/>
        <v>661244.13613468909</v>
      </c>
      <c r="N66" s="305">
        <f>-VLOOKUP(A66,Paramètres!$B$23:$C$316,2,FALSE)*$N$5</f>
        <v>0</v>
      </c>
      <c r="O66" s="319"/>
      <c r="P66" s="598">
        <f t="shared" si="3"/>
        <v>221872.30378738686</v>
      </c>
      <c r="Q66" s="599"/>
      <c r="R66" s="599"/>
      <c r="S66" s="600"/>
      <c r="T66" s="305">
        <f>PCS!D66</f>
        <v>1278016.1587362564</v>
      </c>
      <c r="U66" s="300">
        <f>Police!U66</f>
        <v>198163.27846047425</v>
      </c>
      <c r="V66" s="333">
        <f t="shared" si="4"/>
        <v>1698051.7409841176</v>
      </c>
      <c r="W66" s="177"/>
      <c r="X66" s="177"/>
      <c r="Y66" s="177"/>
      <c r="Z66" s="15"/>
    </row>
    <row r="67" spans="1:26" x14ac:dyDescent="0.25">
      <c r="A67" s="108">
        <f>Données!A67</f>
        <v>5503</v>
      </c>
      <c r="B67" s="116" t="str">
        <f>Données!B67</f>
        <v>Vufflens-la-Ville</v>
      </c>
      <c r="C67" s="304">
        <f>Ressources!H67</f>
        <v>2560103.7376156636</v>
      </c>
      <c r="D67" s="304">
        <f>Ressources!L67</f>
        <v>0</v>
      </c>
      <c r="E67" s="332">
        <f>Ressources!T67</f>
        <v>-87505.644897798717</v>
      </c>
      <c r="F67" s="305">
        <f t="shared" si="0"/>
        <v>2472598.092717865</v>
      </c>
      <c r="G67" s="304">
        <f>'Besoins structurels'!I67</f>
        <v>0</v>
      </c>
      <c r="H67" s="304">
        <f>'Besoins structurels'!N67</f>
        <v>0</v>
      </c>
      <c r="I67" s="304">
        <f>'Besoins structurels'!V67</f>
        <v>0</v>
      </c>
      <c r="J67" s="306">
        <f t="shared" si="1"/>
        <v>0</v>
      </c>
      <c r="K67" s="304">
        <f>'Charges des villes'!N67</f>
        <v>541775.10384508525</v>
      </c>
      <c r="L67" s="304">
        <f>'Charges des villes'!U67</f>
        <v>134234.98201689977</v>
      </c>
      <c r="M67" s="299">
        <f t="shared" si="2"/>
        <v>676010.08586198499</v>
      </c>
      <c r="N67" s="305">
        <f>-VLOOKUP(A67,Paramètres!$B$23:$C$316,2,FALSE)*$N$5</f>
        <v>0</v>
      </c>
      <c r="O67" s="319"/>
      <c r="P67" s="598">
        <f t="shared" si="3"/>
        <v>3148608.1785798501</v>
      </c>
      <c r="Q67" s="599"/>
      <c r="R67" s="599"/>
      <c r="S67" s="600"/>
      <c r="T67" s="305">
        <f>PCS!D67</f>
        <v>1322876.3203143622</v>
      </c>
      <c r="U67" s="300">
        <f>Police!U67</f>
        <v>205999.70993542334</v>
      </c>
      <c r="V67" s="333">
        <f t="shared" si="4"/>
        <v>4677484.2088296358</v>
      </c>
      <c r="W67" s="177"/>
      <c r="X67" s="177"/>
      <c r="Y67" s="177"/>
      <c r="Z67" s="15"/>
    </row>
    <row r="68" spans="1:26" x14ac:dyDescent="0.25">
      <c r="A68" s="108">
        <f>Données!A68</f>
        <v>5511</v>
      </c>
      <c r="B68" s="116" t="str">
        <f>Données!B68</f>
        <v>Assens</v>
      </c>
      <c r="C68" s="304">
        <f>Ressources!H68</f>
        <v>-726715.54696727777</v>
      </c>
      <c r="D68" s="304">
        <f>Ressources!L68</f>
        <v>0</v>
      </c>
      <c r="E68" s="332">
        <f>Ressources!T68</f>
        <v>-105378.21284585859</v>
      </c>
      <c r="F68" s="305">
        <f t="shared" si="0"/>
        <v>-832093.75981313642</v>
      </c>
      <c r="G68" s="304">
        <f>'Besoins structurels'!I68</f>
        <v>0</v>
      </c>
      <c r="H68" s="304">
        <f>'Besoins structurels'!N68</f>
        <v>0</v>
      </c>
      <c r="I68" s="304">
        <f>'Besoins structurels'!V68</f>
        <v>0</v>
      </c>
      <c r="J68" s="306">
        <f t="shared" si="1"/>
        <v>0</v>
      </c>
      <c r="K68" s="304">
        <f>'Charges des villes'!N68</f>
        <v>637104.80761954212</v>
      </c>
      <c r="L68" s="304">
        <f>'Charges des villes'!U68</f>
        <v>176720.80903053799</v>
      </c>
      <c r="M68" s="299">
        <f t="shared" si="2"/>
        <v>813825.61665008008</v>
      </c>
      <c r="N68" s="305">
        <f>-VLOOKUP(A68,Paramètres!$B$23:$C$316,2,FALSE)*$N$5</f>
        <v>-44175</v>
      </c>
      <c r="O68" s="319"/>
      <c r="P68" s="598">
        <f t="shared" si="3"/>
        <v>-62443.143163056346</v>
      </c>
      <c r="Q68" s="599"/>
      <c r="R68" s="599"/>
      <c r="S68" s="600"/>
      <c r="T68" s="305">
        <f>PCS!D68</f>
        <v>1741571.1617100155</v>
      </c>
      <c r="U68" s="300">
        <f>Police!U68</f>
        <v>279139.73703494814</v>
      </c>
      <c r="V68" s="333">
        <f t="shared" si="4"/>
        <v>1958267.7555819072</v>
      </c>
      <c r="W68" s="177"/>
      <c r="X68" s="177"/>
      <c r="Y68" s="177"/>
      <c r="Z68" s="15"/>
    </row>
    <row r="69" spans="1:26" x14ac:dyDescent="0.25">
      <c r="A69" s="108">
        <f>Données!A69</f>
        <v>5512</v>
      </c>
      <c r="B69" s="116" t="str">
        <f>Données!B69</f>
        <v>Bercher</v>
      </c>
      <c r="C69" s="304">
        <f>Ressources!H69</f>
        <v>-1399866.0372425504</v>
      </c>
      <c r="D69" s="304">
        <f>Ressources!L69</f>
        <v>0</v>
      </c>
      <c r="E69" s="332">
        <f>Ressources!T69</f>
        <v>-45793.132789079507</v>
      </c>
      <c r="F69" s="305">
        <f t="shared" si="0"/>
        <v>-1445659.17003163</v>
      </c>
      <c r="G69" s="304">
        <f>'Besoins structurels'!I69</f>
        <v>0</v>
      </c>
      <c r="H69" s="304">
        <f>'Besoins structurels'!N69</f>
        <v>0</v>
      </c>
      <c r="I69" s="304">
        <f>'Besoins structurels'!V69</f>
        <v>-467</v>
      </c>
      <c r="J69" s="306">
        <f t="shared" si="1"/>
        <v>-467</v>
      </c>
      <c r="K69" s="304">
        <f>'Charges des villes'!N69</f>
        <v>549038.31937075814</v>
      </c>
      <c r="L69" s="304">
        <f>'Charges des villes'!U69</f>
        <v>137471.99740841507</v>
      </c>
      <c r="M69" s="299">
        <f t="shared" si="2"/>
        <v>686510.31677917321</v>
      </c>
      <c r="N69" s="305">
        <f>-VLOOKUP(A69,Paramètres!$B$23:$C$316,2,FALSE)*$N$5</f>
        <v>-144150</v>
      </c>
      <c r="O69" s="319"/>
      <c r="P69" s="598">
        <f t="shared" si="3"/>
        <v>-903765.85325245676</v>
      </c>
      <c r="Q69" s="599"/>
      <c r="R69" s="599"/>
      <c r="S69" s="600"/>
      <c r="T69" s="305">
        <f>PCS!D69</f>
        <v>1354776.8796587929</v>
      </c>
      <c r="U69" s="300">
        <f>Police!U69</f>
        <v>211572.28342872046</v>
      </c>
      <c r="V69" s="333">
        <f t="shared" si="4"/>
        <v>662583.30983505654</v>
      </c>
      <c r="W69" s="177"/>
      <c r="X69" s="177"/>
      <c r="Y69" s="177"/>
      <c r="Z69" s="15"/>
    </row>
    <row r="70" spans="1:26" x14ac:dyDescent="0.25">
      <c r="A70" s="108">
        <f>Données!A70</f>
        <v>5514</v>
      </c>
      <c r="B70" s="116" t="str">
        <f>Données!B70</f>
        <v>Bottens</v>
      </c>
      <c r="C70" s="304">
        <f>Ressources!H70</f>
        <v>-1291149.3262599157</v>
      </c>
      <c r="D70" s="304">
        <f>Ressources!L70</f>
        <v>0</v>
      </c>
      <c r="E70" s="332">
        <f>Ressources!T70</f>
        <v>-164908.2154996552</v>
      </c>
      <c r="F70" s="305">
        <f t="shared" si="0"/>
        <v>-1456057.5417595708</v>
      </c>
      <c r="G70" s="304">
        <f>'Besoins structurels'!I70</f>
        <v>0</v>
      </c>
      <c r="H70" s="304">
        <f>'Besoins structurels'!N70</f>
        <v>-37420</v>
      </c>
      <c r="I70" s="304">
        <f>'Besoins structurels'!V70</f>
        <v>-86708</v>
      </c>
      <c r="J70" s="306">
        <f t="shared" si="1"/>
        <v>-124128</v>
      </c>
      <c r="K70" s="304">
        <f>'Charges des villes'!N70</f>
        <v>555847.58392607654</v>
      </c>
      <c r="L70" s="304">
        <f>'Charges des villes'!U70</f>
        <v>140506.69933796066</v>
      </c>
      <c r="M70" s="299">
        <f t="shared" si="2"/>
        <v>696354.28326403722</v>
      </c>
      <c r="N70" s="305">
        <f>-VLOOKUP(A70,Paramètres!$B$23:$C$316,2,FALSE)*$N$5</f>
        <v>0</v>
      </c>
      <c r="O70" s="319"/>
      <c r="P70" s="598">
        <f t="shared" si="3"/>
        <v>-883831.25849553361</v>
      </c>
      <c r="Q70" s="599"/>
      <c r="R70" s="599"/>
      <c r="S70" s="600"/>
      <c r="T70" s="305">
        <f>PCS!D70</f>
        <v>1384683.6540441967</v>
      </c>
      <c r="U70" s="300">
        <f>Police!U70</f>
        <v>216796.57107868651</v>
      </c>
      <c r="V70" s="333">
        <f t="shared" si="4"/>
        <v>717648.96662734961</v>
      </c>
      <c r="W70" s="177"/>
      <c r="X70" s="177"/>
      <c r="Y70" s="177"/>
      <c r="Z70" s="15"/>
    </row>
    <row r="71" spans="1:26" x14ac:dyDescent="0.25">
      <c r="A71" s="108">
        <f>Données!A71</f>
        <v>5515</v>
      </c>
      <c r="B71" s="116" t="str">
        <f>Données!B71</f>
        <v>Bretigny-sur-Morrens</v>
      </c>
      <c r="C71" s="304">
        <f>Ressources!H71</f>
        <v>-752838.17360095005</v>
      </c>
      <c r="D71" s="304">
        <f>Ressources!L71</f>
        <v>0</v>
      </c>
      <c r="E71" s="332">
        <f>Ressources!T71</f>
        <v>-104683.21568480352</v>
      </c>
      <c r="F71" s="305">
        <f t="shared" ref="F71:F134" si="5">SUM(C71:E71)</f>
        <v>-857521.3892857536</v>
      </c>
      <c r="G71" s="304">
        <f>'Besoins structurels'!I71</f>
        <v>0</v>
      </c>
      <c r="H71" s="304">
        <f>'Besoins structurels'!N71</f>
        <v>-107</v>
      </c>
      <c r="I71" s="304">
        <f>'Besoins structurels'!V71</f>
        <v>0</v>
      </c>
      <c r="J71" s="306">
        <f t="shared" ref="J71:J134" si="6">SUM(G71:I71)</f>
        <v>-107</v>
      </c>
      <c r="K71" s="304">
        <f>'Charges des villes'!N71</f>
        <v>417525.82933155884</v>
      </c>
      <c r="L71" s="304">
        <f>'Charges des villes'!U71</f>
        <v>90332.960769473633</v>
      </c>
      <c r="M71" s="299">
        <f t="shared" ref="M71:M134" si="7">SUM(K71:L71)</f>
        <v>507858.79010103247</v>
      </c>
      <c r="N71" s="305">
        <f>-VLOOKUP(A71,Paramètres!$B$23:$C$316,2,FALSE)*$N$5</f>
        <v>-4875</v>
      </c>
      <c r="O71" s="319"/>
      <c r="P71" s="598">
        <f t="shared" ref="P71:P134" si="8">F71+J71+M71+N71</f>
        <v>-354644.59918472113</v>
      </c>
      <c r="Q71" s="599"/>
      <c r="R71" s="599"/>
      <c r="S71" s="600"/>
      <c r="T71" s="305">
        <f>PCS!D71</f>
        <v>890224.98420552025</v>
      </c>
      <c r="U71" s="300">
        <f>Police!U71</f>
        <v>133106.09227385843</v>
      </c>
      <c r="V71" s="333">
        <f t="shared" ref="V71:V134" si="9">P71+T71+U71</f>
        <v>668686.47729465761</v>
      </c>
      <c r="W71" s="177"/>
      <c r="X71" s="177"/>
      <c r="Y71" s="177"/>
      <c r="Z71" s="15"/>
    </row>
    <row r="72" spans="1:26" x14ac:dyDescent="0.25">
      <c r="A72" s="108">
        <f>Données!A72</f>
        <v>5516</v>
      </c>
      <c r="B72" s="116" t="str">
        <f>Données!B72</f>
        <v>Cugy</v>
      </c>
      <c r="C72" s="304">
        <f>Ressources!H72</f>
        <v>-1688466.8428248374</v>
      </c>
      <c r="D72" s="304">
        <f>Ressources!L72</f>
        <v>0</v>
      </c>
      <c r="E72" s="332">
        <f>Ressources!T72</f>
        <v>-250698.69515552651</v>
      </c>
      <c r="F72" s="305">
        <f t="shared" si="5"/>
        <v>-1939165.5379803639</v>
      </c>
      <c r="G72" s="304">
        <f>'Besoins structurels'!I72</f>
        <v>0</v>
      </c>
      <c r="H72" s="304">
        <f>'Besoins structurels'!N72</f>
        <v>-1186</v>
      </c>
      <c r="I72" s="304">
        <f>'Besoins structurels'!V72</f>
        <v>0</v>
      </c>
      <c r="J72" s="306">
        <f t="shared" si="6"/>
        <v>-1186</v>
      </c>
      <c r="K72" s="304">
        <f>'Charges des villes'!N72</f>
        <v>881557.40515547094</v>
      </c>
      <c r="L72" s="304">
        <f>'Charges des villes'!U72</f>
        <v>285666.60830122454</v>
      </c>
      <c r="M72" s="299">
        <f t="shared" si="7"/>
        <v>1167224.0134566955</v>
      </c>
      <c r="N72" s="305">
        <f>-VLOOKUP(A72,Paramètres!$B$23:$C$316,2,FALSE)*$N$5</f>
        <v>-18075</v>
      </c>
      <c r="O72" s="319"/>
      <c r="P72" s="598">
        <f t="shared" si="8"/>
        <v>-791202.52452366846</v>
      </c>
      <c r="Q72" s="599"/>
      <c r="R72" s="599"/>
      <c r="S72" s="600"/>
      <c r="T72" s="305">
        <f>PCS!D72</f>
        <v>2815224.3621460125</v>
      </c>
      <c r="U72" s="300">
        <f>Police!U72</f>
        <v>466691.6636687296</v>
      </c>
      <c r="V72" s="333">
        <f t="shared" si="9"/>
        <v>2490713.5012910739</v>
      </c>
      <c r="W72" s="177"/>
      <c r="X72" s="177"/>
      <c r="Y72" s="177"/>
      <c r="Z72" s="15"/>
    </row>
    <row r="73" spans="1:26" x14ac:dyDescent="0.25">
      <c r="A73" s="108">
        <f>Données!A73</f>
        <v>5518</v>
      </c>
      <c r="B73" s="116" t="str">
        <f>Données!B73</f>
        <v>Echallens</v>
      </c>
      <c r="C73" s="304">
        <f>Ressources!H73</f>
        <v>-7419473.8998372201</v>
      </c>
      <c r="D73" s="304">
        <f>Ressources!L73</f>
        <v>0</v>
      </c>
      <c r="E73" s="332">
        <f>Ressources!T73</f>
        <v>-688212.81584280042</v>
      </c>
      <c r="F73" s="305">
        <f t="shared" si="5"/>
        <v>-8107686.7156800209</v>
      </c>
      <c r="G73" s="304">
        <f>'Besoins structurels'!I73</f>
        <v>0</v>
      </c>
      <c r="H73" s="304">
        <f>'Besoins structurels'!N73</f>
        <v>0</v>
      </c>
      <c r="I73" s="304">
        <f>'Besoins structurels'!V73</f>
        <v>0</v>
      </c>
      <c r="J73" s="306">
        <f t="shared" si="6"/>
        <v>0</v>
      </c>
      <c r="K73" s="304">
        <f>'Charges des villes'!N73</f>
        <v>665584.78827396687</v>
      </c>
      <c r="L73" s="304">
        <f>'Charges des villes'!U73</f>
        <v>689484.27839275729</v>
      </c>
      <c r="M73" s="299">
        <f t="shared" si="7"/>
        <v>1355069.0666667242</v>
      </c>
      <c r="N73" s="305">
        <f>-VLOOKUP(A73,Paramètres!$B$23:$C$316,2,FALSE)*$N$5</f>
        <v>-289125</v>
      </c>
      <c r="O73" s="319"/>
      <c r="P73" s="598">
        <f t="shared" si="8"/>
        <v>-7041742.6490132967</v>
      </c>
      <c r="Q73" s="599"/>
      <c r="R73" s="599"/>
      <c r="S73" s="600"/>
      <c r="T73" s="305">
        <f>PCS!D73</f>
        <v>6794819.1403637473</v>
      </c>
      <c r="U73" s="300">
        <f>Police!U73</f>
        <v>1232517.8660326595</v>
      </c>
      <c r="V73" s="333">
        <f t="shared" si="9"/>
        <v>985594.35738311009</v>
      </c>
      <c r="W73" s="177"/>
      <c r="X73" s="177"/>
      <c r="Y73" s="177"/>
      <c r="Z73" s="15"/>
    </row>
    <row r="74" spans="1:26" x14ac:dyDescent="0.25">
      <c r="A74" s="108">
        <f>Données!A74</f>
        <v>5520</v>
      </c>
      <c r="B74" s="116" t="str">
        <f>Données!B74</f>
        <v>Essertines-sur-Yverdon</v>
      </c>
      <c r="C74" s="304">
        <f>Ressources!H74</f>
        <v>-1213687.1330358356</v>
      </c>
      <c r="D74" s="304">
        <f>Ressources!L74</f>
        <v>0</v>
      </c>
      <c r="E74" s="332">
        <f>Ressources!T74</f>
        <v>-111621.86688703536</v>
      </c>
      <c r="F74" s="305">
        <f t="shared" si="5"/>
        <v>-1325308.9999228709</v>
      </c>
      <c r="G74" s="304">
        <f>'Besoins structurels'!I74</f>
        <v>-8940</v>
      </c>
      <c r="H74" s="304">
        <f>'Besoins structurels'!N74</f>
        <v>0</v>
      </c>
      <c r="I74" s="304">
        <f>'Besoins structurels'!V74</f>
        <v>-151318</v>
      </c>
      <c r="J74" s="306">
        <f t="shared" si="6"/>
        <v>-160258</v>
      </c>
      <c r="K74" s="304">
        <f>'Charges des villes'!N74</f>
        <v>509090.63397955714</v>
      </c>
      <c r="L74" s="304">
        <f>'Charges des villes'!U74</f>
        <v>119668.41275508096</v>
      </c>
      <c r="M74" s="299">
        <f t="shared" si="7"/>
        <v>628759.04673463805</v>
      </c>
      <c r="N74" s="305">
        <f>-VLOOKUP(A74,Paramètres!$B$23:$C$316,2,FALSE)*$N$5</f>
        <v>0</v>
      </c>
      <c r="O74" s="319"/>
      <c r="P74" s="598">
        <f t="shared" si="8"/>
        <v>-856807.95318823284</v>
      </c>
      <c r="Q74" s="599"/>
      <c r="R74" s="599"/>
      <c r="S74" s="600"/>
      <c r="T74" s="305">
        <f>PCS!D74</f>
        <v>1179323.8032644237</v>
      </c>
      <c r="U74" s="300">
        <f>Police!U74</f>
        <v>180923.12921558626</v>
      </c>
      <c r="V74" s="333">
        <f t="shared" si="9"/>
        <v>503438.97929177713</v>
      </c>
      <c r="W74" s="177"/>
      <c r="X74" s="177"/>
      <c r="Y74" s="177"/>
      <c r="Z74" s="15"/>
    </row>
    <row r="75" spans="1:26" x14ac:dyDescent="0.25">
      <c r="A75" s="108">
        <f>Données!A75</f>
        <v>5521</v>
      </c>
      <c r="B75" s="116" t="str">
        <f>Données!B75</f>
        <v>Etagnières</v>
      </c>
      <c r="C75" s="304">
        <f>Ressources!H75</f>
        <v>-821948.17093434581</v>
      </c>
      <c r="D75" s="304">
        <f>Ressources!L75</f>
        <v>0</v>
      </c>
      <c r="E75" s="332">
        <f>Ressources!T75</f>
        <v>-145303.35053174748</v>
      </c>
      <c r="F75" s="305">
        <f t="shared" si="5"/>
        <v>-967251.52146609325</v>
      </c>
      <c r="G75" s="304">
        <f>'Besoins structurels'!I75</f>
        <v>0</v>
      </c>
      <c r="H75" s="304">
        <f>'Besoins structurels'!N75</f>
        <v>0</v>
      </c>
      <c r="I75" s="304">
        <f>'Besoins structurels'!V75</f>
        <v>0</v>
      </c>
      <c r="J75" s="306">
        <f t="shared" si="6"/>
        <v>0</v>
      </c>
      <c r="K75" s="304">
        <f>'Charges des villes'!N75</f>
        <v>505686.00170189794</v>
      </c>
      <c r="L75" s="304">
        <f>'Charges des villes'!U75</f>
        <v>118151.06179030817</v>
      </c>
      <c r="M75" s="299">
        <f t="shared" si="7"/>
        <v>623837.06349220616</v>
      </c>
      <c r="N75" s="305">
        <f>-VLOOKUP(A75,Paramètres!$B$23:$C$316,2,FALSE)*$N$5</f>
        <v>0</v>
      </c>
      <c r="O75" s="319"/>
      <c r="P75" s="598">
        <f t="shared" si="8"/>
        <v>-343414.4579738871</v>
      </c>
      <c r="Q75" s="599"/>
      <c r="R75" s="599"/>
      <c r="S75" s="600"/>
      <c r="T75" s="305">
        <f>PCS!D75</f>
        <v>1164370.4160717218</v>
      </c>
      <c r="U75" s="300">
        <f>Police!U75</f>
        <v>178310.98539060322</v>
      </c>
      <c r="V75" s="333">
        <f t="shared" si="9"/>
        <v>999266.94348843792</v>
      </c>
      <c r="W75" s="177"/>
      <c r="X75" s="177"/>
      <c r="Y75" s="177"/>
      <c r="Z75" s="15"/>
    </row>
    <row r="76" spans="1:26" x14ac:dyDescent="0.25">
      <c r="A76" s="108">
        <f>Données!A76</f>
        <v>5522</v>
      </c>
      <c r="B76" s="116" t="str">
        <f>Données!B76</f>
        <v>Fey</v>
      </c>
      <c r="C76" s="304">
        <f>Ressources!H76</f>
        <v>-842854.29106698011</v>
      </c>
      <c r="D76" s="304">
        <f>Ressources!L76</f>
        <v>0</v>
      </c>
      <c r="E76" s="332">
        <f>Ressources!T76</f>
        <v>-81712.546468846136</v>
      </c>
      <c r="F76" s="305">
        <f t="shared" si="5"/>
        <v>-924566.83753582626</v>
      </c>
      <c r="G76" s="304">
        <f>'Besoins structurels'!I76</f>
        <v>-15788</v>
      </c>
      <c r="H76" s="304">
        <f>'Besoins structurels'!N76</f>
        <v>0</v>
      </c>
      <c r="I76" s="304">
        <f>'Besoins structurels'!V76</f>
        <v>-82625</v>
      </c>
      <c r="J76" s="306">
        <f t="shared" si="6"/>
        <v>-98413</v>
      </c>
      <c r="K76" s="304">
        <f>'Charges des villes'!N76</f>
        <v>369835.30907196307</v>
      </c>
      <c r="L76" s="304">
        <f>'Charges des villes'!U76</f>
        <v>80014.974209018634</v>
      </c>
      <c r="M76" s="299">
        <f t="shared" si="7"/>
        <v>449850.2832809817</v>
      </c>
      <c r="N76" s="305">
        <f>-VLOOKUP(A76,Paramètres!$B$23:$C$316,2,FALSE)*$N$5</f>
        <v>0</v>
      </c>
      <c r="O76" s="319"/>
      <c r="P76" s="598">
        <f t="shared" si="8"/>
        <v>-573129.55425484455</v>
      </c>
      <c r="Q76" s="599"/>
      <c r="R76" s="599"/>
      <c r="S76" s="600"/>
      <c r="T76" s="305">
        <f>PCS!D76</f>
        <v>788541.9512951473</v>
      </c>
      <c r="U76" s="300">
        <f>Police!U76</f>
        <v>117902.48486967752</v>
      </c>
      <c r="V76" s="333">
        <f t="shared" si="9"/>
        <v>333314.88190998026</v>
      </c>
      <c r="W76" s="177"/>
      <c r="X76" s="177"/>
      <c r="Y76" s="177"/>
      <c r="Z76" s="15"/>
    </row>
    <row r="77" spans="1:26" x14ac:dyDescent="0.25">
      <c r="A77" s="108">
        <f>Données!A77</f>
        <v>5523</v>
      </c>
      <c r="B77" s="116" t="str">
        <f>Données!B77</f>
        <v>Froideville</v>
      </c>
      <c r="C77" s="304">
        <f>Ressources!H77</f>
        <v>-2579583.2879144219</v>
      </c>
      <c r="D77" s="304">
        <f>Ressources!L77</f>
        <v>0</v>
      </c>
      <c r="E77" s="332">
        <f>Ressources!T77</f>
        <v>-376145.97012639639</v>
      </c>
      <c r="F77" s="305">
        <f t="shared" si="5"/>
        <v>-2955729.2580408184</v>
      </c>
      <c r="G77" s="304">
        <f>'Besoins structurels'!I77</f>
        <v>0</v>
      </c>
      <c r="H77" s="304">
        <f>'Besoins structurels'!N77</f>
        <v>-52650</v>
      </c>
      <c r="I77" s="304">
        <f>'Besoins structurels'!V77</f>
        <v>-136218</v>
      </c>
      <c r="J77" s="306">
        <f t="shared" si="6"/>
        <v>-188868</v>
      </c>
      <c r="K77" s="304">
        <f>'Charges des villes'!N77</f>
        <v>856363.12630079302</v>
      </c>
      <c r="L77" s="304">
        <f>'Charges des villes'!U77</f>
        <v>274438.2111619059</v>
      </c>
      <c r="M77" s="299">
        <f t="shared" si="7"/>
        <v>1130801.337462699</v>
      </c>
      <c r="N77" s="305">
        <f>-VLOOKUP(A77,Paramètres!$B$23:$C$316,2,FALSE)*$N$5</f>
        <v>0</v>
      </c>
      <c r="O77" s="319"/>
      <c r="P77" s="598">
        <f t="shared" si="8"/>
        <v>-2013795.9205781193</v>
      </c>
      <c r="Q77" s="599"/>
      <c r="R77" s="599"/>
      <c r="S77" s="600"/>
      <c r="T77" s="305">
        <f>PCS!D77</f>
        <v>2704569.2969200183</v>
      </c>
      <c r="U77" s="300">
        <f>Police!U77</f>
        <v>447361.79936385516</v>
      </c>
      <c r="V77" s="333">
        <f t="shared" si="9"/>
        <v>1138135.1757057542</v>
      </c>
      <c r="W77" s="177"/>
      <c r="X77" s="177"/>
      <c r="Y77" s="177"/>
      <c r="Z77" s="15"/>
    </row>
    <row r="78" spans="1:26" x14ac:dyDescent="0.25">
      <c r="A78" s="108">
        <f>Données!A78</f>
        <v>5527</v>
      </c>
      <c r="B78" s="116" t="str">
        <f>Données!B78</f>
        <v>Morrens</v>
      </c>
      <c r="C78" s="304">
        <f>Ressources!H78</f>
        <v>-755675.63469626883</v>
      </c>
      <c r="D78" s="304">
        <f>Ressources!L78</f>
        <v>0</v>
      </c>
      <c r="E78" s="332">
        <f>Ressources!T78</f>
        <v>-199419.21845363945</v>
      </c>
      <c r="F78" s="305">
        <f t="shared" si="5"/>
        <v>-955094.85314990825</v>
      </c>
      <c r="G78" s="304">
        <f>'Besoins structurels'!I78</f>
        <v>0</v>
      </c>
      <c r="H78" s="304">
        <f>'Besoins structurels'!N78</f>
        <v>0</v>
      </c>
      <c r="I78" s="304">
        <f>'Besoins structurels'!V78</f>
        <v>-32955</v>
      </c>
      <c r="J78" s="306">
        <f t="shared" si="6"/>
        <v>-32955</v>
      </c>
      <c r="K78" s="304">
        <f>'Charges des villes'!N78</f>
        <v>500465.56554282049</v>
      </c>
      <c r="L78" s="304">
        <f>'Charges des villes'!U78</f>
        <v>115824.45697765655</v>
      </c>
      <c r="M78" s="299">
        <f t="shared" si="7"/>
        <v>616290.02252047707</v>
      </c>
      <c r="N78" s="305">
        <f>-VLOOKUP(A78,Paramètres!$B$23:$C$316,2,FALSE)*$N$5</f>
        <v>0</v>
      </c>
      <c r="O78" s="319"/>
      <c r="P78" s="598">
        <f t="shared" si="8"/>
        <v>-371759.83062943118</v>
      </c>
      <c r="Q78" s="599"/>
      <c r="R78" s="599"/>
      <c r="S78" s="600"/>
      <c r="T78" s="305">
        <f>PCS!D78</f>
        <v>1141441.8890429123</v>
      </c>
      <c r="U78" s="300">
        <f>Police!U78</f>
        <v>174305.69819229591</v>
      </c>
      <c r="V78" s="333">
        <f t="shared" si="9"/>
        <v>943987.75660577696</v>
      </c>
      <c r="W78" s="177"/>
      <c r="X78" s="177"/>
      <c r="Y78" s="177"/>
      <c r="Z78" s="15"/>
    </row>
    <row r="79" spans="1:26" x14ac:dyDescent="0.25">
      <c r="A79" s="108">
        <f>Données!A79</f>
        <v>5529</v>
      </c>
      <c r="B79" s="116" t="str">
        <f>Données!B79</f>
        <v>Oulens-sous-Echallens</v>
      </c>
      <c r="C79" s="304">
        <f>Ressources!H79</f>
        <v>-442713.90630207059</v>
      </c>
      <c r="D79" s="304">
        <f>Ressources!L79</f>
        <v>0</v>
      </c>
      <c r="E79" s="332">
        <f>Ressources!T79</f>
        <v>-18594.86002468683</v>
      </c>
      <c r="F79" s="305">
        <f t="shared" si="5"/>
        <v>-461308.76632675744</v>
      </c>
      <c r="G79" s="304">
        <f>'Besoins structurels'!I79</f>
        <v>-14026</v>
      </c>
      <c r="H79" s="304">
        <f>'Besoins structurels'!N79</f>
        <v>0</v>
      </c>
      <c r="I79" s="304">
        <f>'Besoins structurels'!V79</f>
        <v>-9865</v>
      </c>
      <c r="J79" s="306">
        <f t="shared" si="6"/>
        <v>-23891</v>
      </c>
      <c r="K79" s="304">
        <f>'Charges des villes'!N79</f>
        <v>284740.45919699816</v>
      </c>
      <c r="L79" s="304">
        <f>'Charges des villes'!U79</f>
        <v>61604.449169775406</v>
      </c>
      <c r="M79" s="299">
        <f t="shared" si="7"/>
        <v>346344.90836677357</v>
      </c>
      <c r="N79" s="305">
        <f>-VLOOKUP(A79,Paramètres!$B$23:$C$316,2,FALSE)*$N$5</f>
        <v>0</v>
      </c>
      <c r="O79" s="319"/>
      <c r="P79" s="598">
        <f t="shared" si="8"/>
        <v>-138854.85795998387</v>
      </c>
      <c r="Q79" s="599"/>
      <c r="R79" s="599"/>
      <c r="S79" s="600"/>
      <c r="T79" s="305">
        <f>PCS!D79</f>
        <v>607107.52002369752</v>
      </c>
      <c r="U79" s="300">
        <f>Police!U79</f>
        <v>90774.479501433118</v>
      </c>
      <c r="V79" s="333">
        <f t="shared" si="9"/>
        <v>559027.14156514674</v>
      </c>
      <c r="W79" s="177"/>
      <c r="X79" s="177"/>
      <c r="Y79" s="177"/>
      <c r="Z79" s="15"/>
    </row>
    <row r="80" spans="1:26" x14ac:dyDescent="0.25">
      <c r="A80" s="108">
        <f>Données!A80</f>
        <v>5530</v>
      </c>
      <c r="B80" s="116" t="str">
        <f>Données!B80</f>
        <v>Pailly</v>
      </c>
      <c r="C80" s="304">
        <f>Ressources!H80</f>
        <v>-492936.16666264879</v>
      </c>
      <c r="D80" s="304">
        <f>Ressources!L80</f>
        <v>0</v>
      </c>
      <c r="E80" s="332">
        <f>Ressources!T80</f>
        <v>-47042.911952701033</v>
      </c>
      <c r="F80" s="305">
        <f t="shared" si="5"/>
        <v>-539979.07861534983</v>
      </c>
      <c r="G80" s="304">
        <f>'Besoins structurels'!I80</f>
        <v>-14829</v>
      </c>
      <c r="H80" s="304">
        <f>'Besoins structurels'!N80</f>
        <v>0</v>
      </c>
      <c r="I80" s="304">
        <f>'Besoins structurels'!V80</f>
        <v>-94038</v>
      </c>
      <c r="J80" s="306">
        <f t="shared" si="6"/>
        <v>-108867</v>
      </c>
      <c r="K80" s="304">
        <f>'Charges des villes'!N80</f>
        <v>268843.61911046621</v>
      </c>
      <c r="L80" s="304">
        <f>'Charges des villes'!U80</f>
        <v>58165.120316290406</v>
      </c>
      <c r="M80" s="299">
        <f t="shared" si="7"/>
        <v>327008.73942675663</v>
      </c>
      <c r="N80" s="305">
        <f>-VLOOKUP(A80,Paramètres!$B$23:$C$316,2,FALSE)*$N$5</f>
        <v>-138225</v>
      </c>
      <c r="O80" s="319"/>
      <c r="P80" s="598">
        <f t="shared" si="8"/>
        <v>-460062.33918859321</v>
      </c>
      <c r="Q80" s="599"/>
      <c r="R80" s="599"/>
      <c r="S80" s="600"/>
      <c r="T80" s="305">
        <f>PCS!D80</f>
        <v>573213.17572023987</v>
      </c>
      <c r="U80" s="300">
        <f>Police!U80</f>
        <v>85706.610366706154</v>
      </c>
      <c r="V80" s="333">
        <f t="shared" si="9"/>
        <v>198857.44689835282</v>
      </c>
      <c r="W80" s="177"/>
      <c r="X80" s="177"/>
      <c r="Y80" s="177"/>
      <c r="Z80" s="15"/>
    </row>
    <row r="81" spans="1:26" x14ac:dyDescent="0.25">
      <c r="A81" s="108">
        <f>Données!A81</f>
        <v>5531</v>
      </c>
      <c r="B81" s="116" t="str">
        <f>Données!B81</f>
        <v>Penthéréaz</v>
      </c>
      <c r="C81" s="304">
        <f>Ressources!H81</f>
        <v>-546671.03393643652</v>
      </c>
      <c r="D81" s="304">
        <f>Ressources!L81</f>
        <v>0</v>
      </c>
      <c r="E81" s="332">
        <f>Ressources!T81</f>
        <v>-30592.050297225498</v>
      </c>
      <c r="F81" s="305">
        <f t="shared" si="5"/>
        <v>-577263.084233662</v>
      </c>
      <c r="G81" s="304">
        <f>'Besoins structurels'!I81</f>
        <v>-25175</v>
      </c>
      <c r="H81" s="304">
        <f>'Besoins structurels'!N81</f>
        <v>0</v>
      </c>
      <c r="I81" s="304">
        <f>'Besoins structurels'!V81</f>
        <v>-25475</v>
      </c>
      <c r="J81" s="306">
        <f t="shared" si="6"/>
        <v>-50650</v>
      </c>
      <c r="K81" s="304">
        <f>'Charges des villes'!N81</f>
        <v>208529.13760568335</v>
      </c>
      <c r="L81" s="304">
        <f>'Charges des villes'!U81</f>
        <v>45115.902019244386</v>
      </c>
      <c r="M81" s="299">
        <f t="shared" si="7"/>
        <v>253645.03962492774</v>
      </c>
      <c r="N81" s="305">
        <f>-VLOOKUP(A81,Paramètres!$B$23:$C$316,2,FALSE)*$N$5</f>
        <v>0</v>
      </c>
      <c r="O81" s="319"/>
      <c r="P81" s="598">
        <f t="shared" si="8"/>
        <v>-374268.04460873426</v>
      </c>
      <c r="Q81" s="599"/>
      <c r="R81" s="599"/>
      <c r="S81" s="600"/>
      <c r="T81" s="305">
        <f>PCS!D81</f>
        <v>444614.04586300341</v>
      </c>
      <c r="U81" s="300">
        <f>Police!U81</f>
        <v>66478.518649653823</v>
      </c>
      <c r="V81" s="333">
        <f t="shared" si="9"/>
        <v>136824.51990392298</v>
      </c>
      <c r="W81" s="177"/>
      <c r="X81" s="177"/>
      <c r="Y81" s="177"/>
      <c r="Z81" s="15"/>
    </row>
    <row r="82" spans="1:26" x14ac:dyDescent="0.25">
      <c r="A82" s="108">
        <f>Données!A82</f>
        <v>5533</v>
      </c>
      <c r="B82" s="116" t="str">
        <f>Données!B82</f>
        <v>Poliez-Pittet</v>
      </c>
      <c r="C82" s="304">
        <f>Ressources!H82</f>
        <v>-562094.14894426765</v>
      </c>
      <c r="D82" s="304">
        <f>Ressources!L82</f>
        <v>0</v>
      </c>
      <c r="E82" s="332">
        <f>Ressources!T82</f>
        <v>-38589.356528587436</v>
      </c>
      <c r="F82" s="305">
        <f t="shared" si="5"/>
        <v>-600683.50547285506</v>
      </c>
      <c r="G82" s="304">
        <f>'Besoins structurels'!I82</f>
        <v>0</v>
      </c>
      <c r="H82" s="304">
        <f>'Besoins structurels'!N82</f>
        <v>-22579</v>
      </c>
      <c r="I82" s="304">
        <f>'Besoins structurels'!V82</f>
        <v>-104964</v>
      </c>
      <c r="J82" s="306">
        <f t="shared" si="6"/>
        <v>-127543</v>
      </c>
      <c r="K82" s="304">
        <f>'Charges des villes'!N82</f>
        <v>396018.33980272157</v>
      </c>
      <c r="L82" s="304">
        <f>'Charges des villes'!U82</f>
        <v>85679.751144170397</v>
      </c>
      <c r="M82" s="299">
        <f t="shared" si="7"/>
        <v>481698.09094689199</v>
      </c>
      <c r="N82" s="305">
        <f>-VLOOKUP(A82,Paramètres!$B$23:$C$316,2,FALSE)*$N$5</f>
        <v>0</v>
      </c>
      <c r="O82" s="319"/>
      <c r="P82" s="598">
        <f t="shared" si="8"/>
        <v>-246528.41452596307</v>
      </c>
      <c r="Q82" s="599"/>
      <c r="R82" s="599"/>
      <c r="S82" s="600"/>
      <c r="T82" s="305">
        <f>PCS!D82</f>
        <v>844367.93014790106</v>
      </c>
      <c r="U82" s="300">
        <f>Police!U82</f>
        <v>126249.56344452195</v>
      </c>
      <c r="V82" s="333">
        <f t="shared" si="9"/>
        <v>724089.07906646002</v>
      </c>
      <c r="W82" s="177"/>
      <c r="X82" s="177"/>
      <c r="Y82" s="177"/>
      <c r="Z82" s="15"/>
    </row>
    <row r="83" spans="1:26" x14ac:dyDescent="0.25">
      <c r="A83" s="108">
        <f>Données!A83</f>
        <v>5534</v>
      </c>
      <c r="B83" s="116" t="str">
        <f>Données!B83</f>
        <v>Rueyres</v>
      </c>
      <c r="C83" s="304">
        <f>Ressources!H83</f>
        <v>-160671.12891165487</v>
      </c>
      <c r="D83" s="304">
        <f>Ressources!L83</f>
        <v>0</v>
      </c>
      <c r="E83" s="332">
        <f>Ressources!T83</f>
        <v>-33802.207286462108</v>
      </c>
      <c r="F83" s="305">
        <f t="shared" si="5"/>
        <v>-194473.33619811697</v>
      </c>
      <c r="G83" s="304">
        <f>'Besoins structurels'!I83</f>
        <v>0</v>
      </c>
      <c r="H83" s="304">
        <f>'Besoins structurels'!N83</f>
        <v>0</v>
      </c>
      <c r="I83" s="304">
        <f>'Besoins structurels'!V83</f>
        <v>0</v>
      </c>
      <c r="J83" s="306">
        <f t="shared" si="6"/>
        <v>0</v>
      </c>
      <c r="K83" s="304">
        <f>'Charges des villes'!N83</f>
        <v>141201.34429801878</v>
      </c>
      <c r="L83" s="304">
        <f>'Charges des villes'!U83</f>
        <v>30549.332757425571</v>
      </c>
      <c r="M83" s="299">
        <f t="shared" si="7"/>
        <v>171750.67705544436</v>
      </c>
      <c r="N83" s="305">
        <f>-VLOOKUP(A83,Paramètres!$B$23:$C$316,2,FALSE)*$N$5</f>
        <v>0</v>
      </c>
      <c r="O83" s="319"/>
      <c r="P83" s="598">
        <f t="shared" si="8"/>
        <v>-22722.659142672608</v>
      </c>
      <c r="Q83" s="599"/>
      <c r="R83" s="599"/>
      <c r="S83" s="600"/>
      <c r="T83" s="305">
        <f>PCS!D83</f>
        <v>301061.52881306509</v>
      </c>
      <c r="U83" s="300">
        <f>Police!U83</f>
        <v>45014.60231433958</v>
      </c>
      <c r="V83" s="333">
        <f t="shared" si="9"/>
        <v>323353.47198473208</v>
      </c>
      <c r="W83" s="177"/>
      <c r="X83" s="177"/>
      <c r="Y83" s="177"/>
      <c r="Z83" s="15"/>
    </row>
    <row r="84" spans="1:26" x14ac:dyDescent="0.25">
      <c r="A84" s="108">
        <f>Données!A84</f>
        <v>5535</v>
      </c>
      <c r="B84" s="116" t="str">
        <f>Données!B84</f>
        <v>Saint-Barthélemy</v>
      </c>
      <c r="C84" s="304">
        <f>Ressources!H84</f>
        <v>-887051.1040928904</v>
      </c>
      <c r="D84" s="304">
        <f>Ressources!L84</f>
        <v>0</v>
      </c>
      <c r="E84" s="332">
        <f>Ressources!T84</f>
        <v>-26032.230715414713</v>
      </c>
      <c r="F84" s="305">
        <f t="shared" si="5"/>
        <v>-913083.33480830514</v>
      </c>
      <c r="G84" s="304">
        <f>'Besoins structurels'!I84</f>
        <v>0</v>
      </c>
      <c r="H84" s="304">
        <f>'Besoins structurels'!N84</f>
        <v>0</v>
      </c>
      <c r="I84" s="304">
        <f>'Besoins structurels'!V84</f>
        <v>-31938</v>
      </c>
      <c r="J84" s="306">
        <f t="shared" si="6"/>
        <v>-31938</v>
      </c>
      <c r="K84" s="304">
        <f>'Charges des villes'!N84</f>
        <v>391810.35272099252</v>
      </c>
      <c r="L84" s="304">
        <f>'Charges des villes'!U84</f>
        <v>84769.340565306717</v>
      </c>
      <c r="M84" s="299">
        <f t="shared" si="7"/>
        <v>476579.69328629924</v>
      </c>
      <c r="N84" s="305">
        <f>-VLOOKUP(A84,Paramètres!$B$23:$C$316,2,FALSE)*$N$5</f>
        <v>0</v>
      </c>
      <c r="O84" s="319"/>
      <c r="P84" s="598">
        <f t="shared" si="8"/>
        <v>-468441.6415220059</v>
      </c>
      <c r="Q84" s="599"/>
      <c r="R84" s="599"/>
      <c r="S84" s="600"/>
      <c r="T84" s="305">
        <f>PCS!D84</f>
        <v>835395.89783227991</v>
      </c>
      <c r="U84" s="300">
        <f>Police!U84</f>
        <v>124908.06867356479</v>
      </c>
      <c r="V84" s="333">
        <f t="shared" si="9"/>
        <v>491862.32498383883</v>
      </c>
      <c r="W84" s="177"/>
      <c r="X84" s="177"/>
      <c r="Y84" s="177"/>
      <c r="Z84" s="15"/>
    </row>
    <row r="85" spans="1:26" x14ac:dyDescent="0.25">
      <c r="A85" s="108">
        <f>Données!A85</f>
        <v>5537</v>
      </c>
      <c r="B85" s="116" t="str">
        <f>Données!B85</f>
        <v>Villars-le-Terroir</v>
      </c>
      <c r="C85" s="304">
        <f>Ressources!H85</f>
        <v>-1436477.0108835662</v>
      </c>
      <c r="D85" s="304">
        <f>Ressources!L85</f>
        <v>0</v>
      </c>
      <c r="E85" s="332">
        <f>Ressources!T85</f>
        <v>-147035.2705302664</v>
      </c>
      <c r="F85" s="305">
        <f t="shared" si="5"/>
        <v>-1583512.2814138327</v>
      </c>
      <c r="G85" s="304">
        <f>'Besoins structurels'!I85</f>
        <v>0</v>
      </c>
      <c r="H85" s="304">
        <f>'Besoins structurels'!N85</f>
        <v>0</v>
      </c>
      <c r="I85" s="304">
        <f>'Besoins structurels'!V85</f>
        <v>-115752</v>
      </c>
      <c r="J85" s="306">
        <f t="shared" si="6"/>
        <v>-115752</v>
      </c>
      <c r="K85" s="304">
        <f>'Charges des villes'!N85</f>
        <v>543363.93224132608</v>
      </c>
      <c r="L85" s="304">
        <f>'Charges des villes'!U85</f>
        <v>134943.07913379374</v>
      </c>
      <c r="M85" s="299">
        <f t="shared" si="7"/>
        <v>678307.01137511979</v>
      </c>
      <c r="N85" s="305">
        <f>-VLOOKUP(A85,Paramètres!$B$23:$C$316,2,FALSE)*$N$5</f>
        <v>0</v>
      </c>
      <c r="O85" s="319"/>
      <c r="P85" s="598">
        <f t="shared" si="8"/>
        <v>-1020957.2700387129</v>
      </c>
      <c r="Q85" s="599"/>
      <c r="R85" s="599"/>
      <c r="S85" s="600"/>
      <c r="T85" s="305">
        <f>PCS!D85</f>
        <v>1329854.5676709565</v>
      </c>
      <c r="U85" s="300">
        <f>Police!U85</f>
        <v>207218.71038708207</v>
      </c>
      <c r="V85" s="333">
        <f t="shared" si="9"/>
        <v>516116.00801932567</v>
      </c>
      <c r="W85" s="177"/>
      <c r="X85" s="177"/>
      <c r="Y85" s="177"/>
      <c r="Z85" s="15"/>
    </row>
    <row r="86" spans="1:26" x14ac:dyDescent="0.25">
      <c r="A86" s="108">
        <f>Données!A86</f>
        <v>5539</v>
      </c>
      <c r="B86" s="116" t="str">
        <f>Données!B86</f>
        <v>Vuarrens</v>
      </c>
      <c r="C86" s="304">
        <f>Ressources!H86</f>
        <v>-1007151.8925952113</v>
      </c>
      <c r="D86" s="304">
        <f>Ressources!L86</f>
        <v>0</v>
      </c>
      <c r="E86" s="332">
        <f>Ressources!T86</f>
        <v>-109200.04556235869</v>
      </c>
      <c r="F86" s="305">
        <f t="shared" si="5"/>
        <v>-1116351.9381575701</v>
      </c>
      <c r="G86" s="304">
        <f>'Besoins structurels'!I86</f>
        <v>-6428</v>
      </c>
      <c r="H86" s="304">
        <f>'Besoins structurels'!N86</f>
        <v>0</v>
      </c>
      <c r="I86" s="304">
        <f>'Besoins structurels'!V86</f>
        <v>-197653</v>
      </c>
      <c r="J86" s="306">
        <f t="shared" si="6"/>
        <v>-204081</v>
      </c>
      <c r="K86" s="304">
        <f>'Charges des villes'!N86</f>
        <v>493202.3500171476</v>
      </c>
      <c r="L86" s="304">
        <f>'Charges des villes'!U86</f>
        <v>112587.44158614126</v>
      </c>
      <c r="M86" s="299">
        <f t="shared" si="7"/>
        <v>605789.79160328885</v>
      </c>
      <c r="N86" s="305">
        <f>-VLOOKUP(A86,Paramètres!$B$23:$C$316,2,FALSE)*$N$5</f>
        <v>0</v>
      </c>
      <c r="O86" s="319"/>
      <c r="P86" s="598">
        <f t="shared" si="8"/>
        <v>-714643.14655428124</v>
      </c>
      <c r="Q86" s="599"/>
      <c r="R86" s="599"/>
      <c r="S86" s="600"/>
      <c r="T86" s="305">
        <f>PCS!D86</f>
        <v>1109541.3296984816</v>
      </c>
      <c r="U86" s="300">
        <f>Police!U86</f>
        <v>168733.12469899878</v>
      </c>
      <c r="V86" s="333">
        <f t="shared" si="9"/>
        <v>563631.30784319912</v>
      </c>
      <c r="W86" s="177"/>
      <c r="X86" s="177"/>
      <c r="Y86" s="177"/>
      <c r="Z86" s="15"/>
    </row>
    <row r="87" spans="1:26" x14ac:dyDescent="0.25">
      <c r="A87" s="108">
        <f>Données!A87</f>
        <v>5540</v>
      </c>
      <c r="B87" s="116" t="str">
        <f>Données!B87</f>
        <v>Montilliez</v>
      </c>
      <c r="C87" s="304">
        <f>Ressources!H87</f>
        <v>-1527330.9117120164</v>
      </c>
      <c r="D87" s="304">
        <f>Ressources!L87</f>
        <v>0</v>
      </c>
      <c r="E87" s="332">
        <f>Ressources!T87</f>
        <v>-175428.72769428365</v>
      </c>
      <c r="F87" s="305">
        <f t="shared" si="5"/>
        <v>-1702759.6394063001</v>
      </c>
      <c r="G87" s="304">
        <f>'Besoins structurels'!I87</f>
        <v>0</v>
      </c>
      <c r="H87" s="304">
        <f>'Besoins structurels'!N87</f>
        <v>-7245</v>
      </c>
      <c r="I87" s="304">
        <f>'Besoins structurels'!V87</f>
        <v>0</v>
      </c>
      <c r="J87" s="306">
        <f t="shared" si="6"/>
        <v>-7245</v>
      </c>
      <c r="K87" s="304">
        <f>'Charges des villes'!N87</f>
        <v>661845.13550386543</v>
      </c>
      <c r="L87" s="304">
        <f>'Charges des villes'!U87</f>
        <v>187746.89270788696</v>
      </c>
      <c r="M87" s="299">
        <f t="shared" si="7"/>
        <v>849592.02821175242</v>
      </c>
      <c r="N87" s="305">
        <f>-VLOOKUP(A87,Paramètres!$B$23:$C$316,2,FALSE)*$N$5</f>
        <v>-72825</v>
      </c>
      <c r="O87" s="319"/>
      <c r="P87" s="598">
        <f t="shared" si="8"/>
        <v>-933237.61119454773</v>
      </c>
      <c r="Q87" s="599"/>
      <c r="R87" s="599"/>
      <c r="S87" s="600"/>
      <c r="T87" s="305">
        <f>PCS!D87</f>
        <v>1850232.4419769829</v>
      </c>
      <c r="U87" s="300">
        <f>Police!U87</f>
        <v>298121.31549649144</v>
      </c>
      <c r="V87" s="333">
        <f t="shared" si="9"/>
        <v>1215116.1462789266</v>
      </c>
      <c r="W87" s="177"/>
      <c r="X87" s="177"/>
      <c r="Y87" s="177"/>
      <c r="Z87" s="15"/>
    </row>
    <row r="88" spans="1:26" x14ac:dyDescent="0.25">
      <c r="A88" s="108">
        <f>Données!A88</f>
        <v>5541</v>
      </c>
      <c r="B88" s="116" t="str">
        <f>Données!B88</f>
        <v>Goumoëns</v>
      </c>
      <c r="C88" s="304">
        <f>Ressources!H88</f>
        <v>-1201003.829726499</v>
      </c>
      <c r="D88" s="304">
        <f>Ressources!L88</f>
        <v>0</v>
      </c>
      <c r="E88" s="332">
        <f>Ressources!T88</f>
        <v>-123398.74303100693</v>
      </c>
      <c r="F88" s="305">
        <f t="shared" si="5"/>
        <v>-1324402.572757506</v>
      </c>
      <c r="G88" s="304">
        <f>'Besoins structurels'!I88</f>
        <v>-13323</v>
      </c>
      <c r="H88" s="304">
        <f>'Besoins structurels'!N88</f>
        <v>0</v>
      </c>
      <c r="I88" s="304">
        <f>'Besoins structurels'!V88</f>
        <v>-293478</v>
      </c>
      <c r="J88" s="306">
        <f t="shared" si="6"/>
        <v>-306801</v>
      </c>
      <c r="K88" s="304">
        <f>'Charges des villes'!N88</f>
        <v>524524.96697161207</v>
      </c>
      <c r="L88" s="304">
        <f>'Charges des villes'!U88</f>
        <v>126547.07046205096</v>
      </c>
      <c r="M88" s="299">
        <f t="shared" si="7"/>
        <v>651072.03743366303</v>
      </c>
      <c r="N88" s="305">
        <f>-VLOOKUP(A88,Paramètres!$B$23:$C$316,2,FALSE)*$N$5</f>
        <v>0</v>
      </c>
      <c r="O88" s="319"/>
      <c r="P88" s="598">
        <f t="shared" si="8"/>
        <v>-980131.53532384301</v>
      </c>
      <c r="Q88" s="599"/>
      <c r="R88" s="599"/>
      <c r="S88" s="600"/>
      <c r="T88" s="305">
        <f>PCS!D88</f>
        <v>1247112.4918713393</v>
      </c>
      <c r="U88" s="300">
        <f>Police!U88</f>
        <v>192764.84788884266</v>
      </c>
      <c r="V88" s="333">
        <f t="shared" si="9"/>
        <v>459745.80443633895</v>
      </c>
      <c r="W88" s="177"/>
      <c r="X88" s="177"/>
      <c r="Y88" s="177"/>
      <c r="Z88" s="15"/>
    </row>
    <row r="89" spans="1:26" x14ac:dyDescent="0.25">
      <c r="A89" s="108">
        <f>Données!A89</f>
        <v>5551</v>
      </c>
      <c r="B89" s="116" t="str">
        <f>Données!B89</f>
        <v>Bonvillars</v>
      </c>
      <c r="C89" s="304">
        <f>Ressources!H89</f>
        <v>-235153.58212710495</v>
      </c>
      <c r="D89" s="304">
        <f>Ressources!L89</f>
        <v>0</v>
      </c>
      <c r="E89" s="332">
        <f>Ressources!T89</f>
        <v>-30034.416712254679</v>
      </c>
      <c r="F89" s="305">
        <f t="shared" si="5"/>
        <v>-265187.99883935961</v>
      </c>
      <c r="G89" s="304">
        <f>'Besoins structurels'!I89</f>
        <v>-37764</v>
      </c>
      <c r="H89" s="304">
        <f>'Besoins structurels'!N89</f>
        <v>-2097</v>
      </c>
      <c r="I89" s="304">
        <f>'Besoins structurels'!V89</f>
        <v>0</v>
      </c>
      <c r="J89" s="306">
        <f t="shared" si="6"/>
        <v>-39861</v>
      </c>
      <c r="K89" s="304">
        <f>'Charges des villes'!N89</f>
        <v>241725.48013932354</v>
      </c>
      <c r="L89" s="304">
        <f>'Charges des villes'!U89</f>
        <v>52298.029919168941</v>
      </c>
      <c r="M89" s="299">
        <f t="shared" si="7"/>
        <v>294023.51005849248</v>
      </c>
      <c r="N89" s="305">
        <f>-VLOOKUP(A89,Paramètres!$B$23:$C$316,2,FALSE)*$N$5</f>
        <v>0</v>
      </c>
      <c r="O89" s="319"/>
      <c r="P89" s="598">
        <f t="shared" si="8"/>
        <v>-11025.488780867134</v>
      </c>
      <c r="Q89" s="599"/>
      <c r="R89" s="599"/>
      <c r="S89" s="600"/>
      <c r="T89" s="305">
        <f>PCS!D89</f>
        <v>515393.41190845909</v>
      </c>
      <c r="U89" s="300">
        <f>Police!U89</f>
        <v>77061.421842760145</v>
      </c>
      <c r="V89" s="333">
        <f t="shared" si="9"/>
        <v>581429.34497035213</v>
      </c>
      <c r="W89" s="177"/>
      <c r="X89" s="177"/>
      <c r="Y89" s="177"/>
      <c r="Z89" s="15"/>
    </row>
    <row r="90" spans="1:26" x14ac:dyDescent="0.25">
      <c r="A90" s="108">
        <f>Données!A90</f>
        <v>5552</v>
      </c>
      <c r="B90" s="116" t="str">
        <f>Données!B90</f>
        <v>Bullet</v>
      </c>
      <c r="C90" s="304">
        <f>Ressources!H90</f>
        <v>-776875.92792606796</v>
      </c>
      <c r="D90" s="304">
        <f>Ressources!L90</f>
        <v>0</v>
      </c>
      <c r="E90" s="332">
        <f>Ressources!T90</f>
        <v>28016.527927816351</v>
      </c>
      <c r="F90" s="305">
        <f t="shared" si="5"/>
        <v>-748859.39999825158</v>
      </c>
      <c r="G90" s="304">
        <f>'Besoins structurels'!I90</f>
        <v>-124638</v>
      </c>
      <c r="H90" s="304">
        <f>'Besoins structurels'!N90</f>
        <v>-67874</v>
      </c>
      <c r="I90" s="304">
        <f>'Besoins structurels'!V90</f>
        <v>0</v>
      </c>
      <c r="J90" s="306">
        <f t="shared" si="6"/>
        <v>-192512</v>
      </c>
      <c r="K90" s="304">
        <f>'Charges des villes'!N90</f>
        <v>321209.6805719831</v>
      </c>
      <c r="L90" s="304">
        <f>'Charges des villes'!U90</f>
        <v>69494.674186593926</v>
      </c>
      <c r="M90" s="299">
        <f t="shared" si="7"/>
        <v>390704.35475857701</v>
      </c>
      <c r="N90" s="305">
        <f>-VLOOKUP(A90,Paramètres!$B$23:$C$316,2,FALSE)*$N$5</f>
        <v>0</v>
      </c>
      <c r="O90" s="319"/>
      <c r="P90" s="598">
        <f t="shared" si="8"/>
        <v>-550667.04523967463</v>
      </c>
      <c r="Q90" s="599"/>
      <c r="R90" s="599"/>
      <c r="S90" s="600"/>
      <c r="T90" s="305">
        <f>PCS!D90</f>
        <v>684865.13342574739</v>
      </c>
      <c r="U90" s="300">
        <f>Police!U90</f>
        <v>102400.767516395</v>
      </c>
      <c r="V90" s="333">
        <f t="shared" si="9"/>
        <v>236598.85570246779</v>
      </c>
      <c r="W90" s="177"/>
      <c r="X90" s="177"/>
      <c r="Y90" s="177"/>
      <c r="Z90" s="15"/>
    </row>
    <row r="91" spans="1:26" x14ac:dyDescent="0.25">
      <c r="A91" s="108">
        <f>Données!A91</f>
        <v>5553</v>
      </c>
      <c r="B91" s="116" t="str">
        <f>Données!B91</f>
        <v>Champagne</v>
      </c>
      <c r="C91" s="304">
        <f>Ressources!H91</f>
        <v>-640862.70971589896</v>
      </c>
      <c r="D91" s="304">
        <f>Ressources!L91</f>
        <v>0</v>
      </c>
      <c r="E91" s="332">
        <f>Ressources!T91</f>
        <v>-106665.46821319309</v>
      </c>
      <c r="F91" s="305">
        <f t="shared" si="5"/>
        <v>-747528.17792909208</v>
      </c>
      <c r="G91" s="304">
        <f>'Besoins structurels'!I91</f>
        <v>0</v>
      </c>
      <c r="H91" s="304">
        <f>'Besoins structurels'!N91</f>
        <v>0</v>
      </c>
      <c r="I91" s="304">
        <f>'Besoins structurels'!V91</f>
        <v>0</v>
      </c>
      <c r="J91" s="306">
        <f t="shared" si="6"/>
        <v>0</v>
      </c>
      <c r="K91" s="304">
        <f>'Charges des villes'!N91</f>
        <v>487300.98740253842</v>
      </c>
      <c r="L91" s="304">
        <f>'Charges des villes'!U91</f>
        <v>109957.36658053509</v>
      </c>
      <c r="M91" s="299">
        <f t="shared" si="7"/>
        <v>597258.3539830735</v>
      </c>
      <c r="N91" s="305">
        <f>-VLOOKUP(A91,Paramètres!$B$23:$C$316,2,FALSE)*$N$5</f>
        <v>-42675</v>
      </c>
      <c r="O91" s="319"/>
      <c r="P91" s="598">
        <f t="shared" si="8"/>
        <v>-192944.82394601859</v>
      </c>
      <c r="Q91" s="599"/>
      <c r="R91" s="599"/>
      <c r="S91" s="600"/>
      <c r="T91" s="305">
        <f>PCS!D91</f>
        <v>1083622.1252311317</v>
      </c>
      <c r="U91" s="300">
        <f>Police!U91</f>
        <v>164205.40873569486</v>
      </c>
      <c r="V91" s="333">
        <f t="shared" si="9"/>
        <v>1054882.710020808</v>
      </c>
      <c r="W91" s="177"/>
      <c r="X91" s="177"/>
      <c r="Y91" s="177"/>
      <c r="Z91" s="15"/>
    </row>
    <row r="92" spans="1:26" x14ac:dyDescent="0.25">
      <c r="A92" s="108">
        <f>Données!A92</f>
        <v>5554</v>
      </c>
      <c r="B92" s="116" t="str">
        <f>Données!B92</f>
        <v>Concise</v>
      </c>
      <c r="C92" s="304">
        <f>Ressources!H92</f>
        <v>-969129.39331093803</v>
      </c>
      <c r="D92" s="304">
        <f>Ressources!L92</f>
        <v>0</v>
      </c>
      <c r="E92" s="332">
        <f>Ressources!T92</f>
        <v>-46666.388514861843</v>
      </c>
      <c r="F92" s="305">
        <f t="shared" si="5"/>
        <v>-1015795.7818257998</v>
      </c>
      <c r="G92" s="304">
        <f>'Besoins structurels'!I92</f>
        <v>-38453</v>
      </c>
      <c r="H92" s="304">
        <f>'Besoins structurels'!N92</f>
        <v>-148</v>
      </c>
      <c r="I92" s="304">
        <f>'Besoins structurels'!V92</f>
        <v>0</v>
      </c>
      <c r="J92" s="306">
        <f t="shared" si="6"/>
        <v>-38601</v>
      </c>
      <c r="K92" s="304">
        <f>'Charges des villes'!N92</f>
        <v>475498.26217331993</v>
      </c>
      <c r="L92" s="304">
        <f>'Charges des villes'!U92</f>
        <v>104697.21656932273</v>
      </c>
      <c r="M92" s="299">
        <f t="shared" si="7"/>
        <v>580195.47874264268</v>
      </c>
      <c r="N92" s="305">
        <f>-VLOOKUP(A92,Paramètres!$B$23:$C$316,2,FALSE)*$N$5</f>
        <v>-18450</v>
      </c>
      <c r="O92" s="319"/>
      <c r="P92" s="598">
        <f t="shared" si="8"/>
        <v>-492651.30308315728</v>
      </c>
      <c r="Q92" s="599"/>
      <c r="R92" s="599"/>
      <c r="S92" s="600"/>
      <c r="T92" s="305">
        <f>PCS!D92</f>
        <v>1031783.7162964317</v>
      </c>
      <c r="U92" s="300">
        <f>Police!U92</f>
        <v>155149.97680908703</v>
      </c>
      <c r="V92" s="333">
        <f t="shared" si="9"/>
        <v>694282.39002236142</v>
      </c>
      <c r="W92" s="177"/>
      <c r="X92" s="177"/>
      <c r="Y92" s="177"/>
      <c r="Z92" s="15"/>
    </row>
    <row r="93" spans="1:26" x14ac:dyDescent="0.25">
      <c r="A93" s="108">
        <f>Données!A93</f>
        <v>5555</v>
      </c>
      <c r="B93" s="116" t="str">
        <f>Données!B93</f>
        <v>Corcelles-près-Concise</v>
      </c>
      <c r="C93" s="304">
        <f>Ressources!H93</f>
        <v>-361712.00808621402</v>
      </c>
      <c r="D93" s="304">
        <f>Ressources!L93</f>
        <v>0</v>
      </c>
      <c r="E93" s="332">
        <f>Ressources!T93</f>
        <v>-60686.044664757836</v>
      </c>
      <c r="F93" s="305">
        <f t="shared" si="5"/>
        <v>-422398.05275097187</v>
      </c>
      <c r="G93" s="304">
        <f>'Besoins structurels'!I93</f>
        <v>-8094</v>
      </c>
      <c r="H93" s="304">
        <f>'Besoins structurels'!N93</f>
        <v>0</v>
      </c>
      <c r="I93" s="304">
        <f>'Besoins structurels'!V93</f>
        <v>0</v>
      </c>
      <c r="J93" s="306">
        <f t="shared" si="6"/>
        <v>-8094</v>
      </c>
      <c r="K93" s="304">
        <f>'Charges des villes'!N93</f>
        <v>205256.25876433856</v>
      </c>
      <c r="L93" s="304">
        <f>'Charges des villes'!U93</f>
        <v>44407.804902350414</v>
      </c>
      <c r="M93" s="299">
        <f t="shared" si="7"/>
        <v>249664.06366668898</v>
      </c>
      <c r="N93" s="305">
        <f>-VLOOKUP(A93,Paramètres!$B$23:$C$316,2,FALSE)*$N$5</f>
        <v>-51525</v>
      </c>
      <c r="O93" s="319"/>
      <c r="P93" s="598">
        <f t="shared" si="8"/>
        <v>-232352.98908428289</v>
      </c>
      <c r="Q93" s="599"/>
      <c r="R93" s="599"/>
      <c r="S93" s="600"/>
      <c r="T93" s="305">
        <f>PCS!D93</f>
        <v>437635.79850640916</v>
      </c>
      <c r="U93" s="300">
        <f>Police!U93</f>
        <v>65435.133827798265</v>
      </c>
      <c r="V93" s="333">
        <f t="shared" si="9"/>
        <v>270717.94324992452</v>
      </c>
      <c r="W93" s="177"/>
      <c r="X93" s="177"/>
      <c r="Y93" s="177"/>
      <c r="Z93" s="15"/>
    </row>
    <row r="94" spans="1:26" x14ac:dyDescent="0.25">
      <c r="A94" s="108">
        <f>Données!A94</f>
        <v>5556</v>
      </c>
      <c r="B94" s="116" t="str">
        <f>Données!B94</f>
        <v>Fiez</v>
      </c>
      <c r="C94" s="304">
        <f>Ressources!H94</f>
        <v>-380207.14519478369</v>
      </c>
      <c r="D94" s="304">
        <f>Ressources!L94</f>
        <v>0</v>
      </c>
      <c r="E94" s="332">
        <f>Ressources!T94</f>
        <v>-60288.998038412406</v>
      </c>
      <c r="F94" s="305">
        <f t="shared" si="5"/>
        <v>-440496.14323319611</v>
      </c>
      <c r="G94" s="304">
        <f>'Besoins structurels'!I94</f>
        <v>-38835</v>
      </c>
      <c r="H94" s="304">
        <f>'Besoins structurels'!N94</f>
        <v>0</v>
      </c>
      <c r="I94" s="304">
        <f>'Besoins structurels'!V94</f>
        <v>-18012</v>
      </c>
      <c r="J94" s="306">
        <f t="shared" si="6"/>
        <v>-56847</v>
      </c>
      <c r="K94" s="304">
        <f>'Charges des villes'!N94</f>
        <v>196840.28460088049</v>
      </c>
      <c r="L94" s="304">
        <f>'Charges des villes'!U94</f>
        <v>42586.983744623067</v>
      </c>
      <c r="M94" s="299">
        <f t="shared" si="7"/>
        <v>239427.26834550354</v>
      </c>
      <c r="N94" s="305">
        <f>-VLOOKUP(A94,Paramètres!$B$23:$C$316,2,FALSE)*$N$5</f>
        <v>0</v>
      </c>
      <c r="O94" s="319"/>
      <c r="P94" s="598">
        <f t="shared" si="8"/>
        <v>-257915.87488769257</v>
      </c>
      <c r="Q94" s="599"/>
      <c r="R94" s="599"/>
      <c r="S94" s="600"/>
      <c r="T94" s="305">
        <f>PCS!D94</f>
        <v>419691.73387516692</v>
      </c>
      <c r="U94" s="300">
        <f>Police!U94</f>
        <v>62752.144285883987</v>
      </c>
      <c r="V94" s="333">
        <f t="shared" si="9"/>
        <v>224528.00327335834</v>
      </c>
      <c r="W94" s="177"/>
      <c r="X94" s="177"/>
      <c r="Y94" s="177"/>
      <c r="Z94" s="15"/>
    </row>
    <row r="95" spans="1:26" x14ac:dyDescent="0.25">
      <c r="A95" s="108">
        <f>Données!A95</f>
        <v>5557</v>
      </c>
      <c r="B95" s="116" t="str">
        <f>Données!B95</f>
        <v>Fontaines-sur-Grandson</v>
      </c>
      <c r="C95" s="304">
        <f>Ressources!H95</f>
        <v>-280706.75208698533</v>
      </c>
      <c r="D95" s="304">
        <f>Ressources!L95</f>
        <v>0</v>
      </c>
      <c r="E95" s="332">
        <f>Ressources!T95</f>
        <v>-40180.675600375369</v>
      </c>
      <c r="F95" s="305">
        <f t="shared" si="5"/>
        <v>-320887.42768736067</v>
      </c>
      <c r="G95" s="304">
        <f>'Besoins structurels'!I95</f>
        <v>-66183</v>
      </c>
      <c r="H95" s="304">
        <f>'Besoins structurels'!N95</f>
        <v>-525</v>
      </c>
      <c r="I95" s="304">
        <f>'Besoins structurels'!V95</f>
        <v>0</v>
      </c>
      <c r="J95" s="306">
        <f t="shared" si="6"/>
        <v>-66708</v>
      </c>
      <c r="K95" s="304">
        <f>'Charges des villes'!N95</f>
        <v>106602.33940380227</v>
      </c>
      <c r="L95" s="304">
        <f>'Charges des villes'!U95</f>
        <v>23063.734664546457</v>
      </c>
      <c r="M95" s="299">
        <f t="shared" si="7"/>
        <v>129666.07406834872</v>
      </c>
      <c r="N95" s="305">
        <f>-VLOOKUP(A95,Paramètres!$B$23:$C$316,2,FALSE)*$N$5</f>
        <v>0</v>
      </c>
      <c r="O95" s="319"/>
      <c r="P95" s="598">
        <f t="shared" si="8"/>
        <v>-257929.35361901193</v>
      </c>
      <c r="Q95" s="599"/>
      <c r="R95" s="599"/>
      <c r="S95" s="600"/>
      <c r="T95" s="305">
        <f>PCS!D95</f>
        <v>227291.48532906899</v>
      </c>
      <c r="U95" s="300">
        <f>Police!U95</f>
        <v>33984.534197580877</v>
      </c>
      <c r="V95" s="333">
        <f t="shared" si="9"/>
        <v>3346.6659076379365</v>
      </c>
      <c r="W95" s="177"/>
      <c r="X95" s="177"/>
      <c r="Y95" s="177"/>
      <c r="Z95" s="15"/>
    </row>
    <row r="96" spans="1:26" x14ac:dyDescent="0.25">
      <c r="A96" s="108">
        <f>Données!A96</f>
        <v>5559</v>
      </c>
      <c r="B96" s="116" t="str">
        <f>Données!B96</f>
        <v>Giez</v>
      </c>
      <c r="C96" s="304">
        <f>Ressources!H96</f>
        <v>-3537.6126297149749</v>
      </c>
      <c r="D96" s="304">
        <f>Ressources!L96</f>
        <v>0</v>
      </c>
      <c r="E96" s="332">
        <f>Ressources!T96</f>
        <v>-17822.116923570909</v>
      </c>
      <c r="F96" s="305">
        <f t="shared" si="5"/>
        <v>-21359.729553285884</v>
      </c>
      <c r="G96" s="304">
        <f>'Besoins structurels'!I96</f>
        <v>-13360</v>
      </c>
      <c r="H96" s="304">
        <f>'Besoins structurels'!N96</f>
        <v>0</v>
      </c>
      <c r="I96" s="304">
        <f>'Besoins structurels'!V96</f>
        <v>0</v>
      </c>
      <c r="J96" s="306">
        <f t="shared" si="6"/>
        <v>-13360</v>
      </c>
      <c r="K96" s="304">
        <f>'Charges des villes'!N96</f>
        <v>216945.11176914143</v>
      </c>
      <c r="L96" s="304">
        <f>'Charges des villes'!U96</f>
        <v>46936.72317697174</v>
      </c>
      <c r="M96" s="299">
        <f t="shared" si="7"/>
        <v>263881.83494611317</v>
      </c>
      <c r="N96" s="305">
        <f>-VLOOKUP(A96,Paramètres!$B$23:$C$316,2,FALSE)*$N$5</f>
        <v>0</v>
      </c>
      <c r="O96" s="319"/>
      <c r="P96" s="598">
        <f t="shared" si="8"/>
        <v>229162.1053928273</v>
      </c>
      <c r="Q96" s="599"/>
      <c r="R96" s="599"/>
      <c r="S96" s="600"/>
      <c r="T96" s="305">
        <f>PCS!D96</f>
        <v>462558.11049424572</v>
      </c>
      <c r="U96" s="300">
        <f>Police!U96</f>
        <v>69161.508191568093</v>
      </c>
      <c r="V96" s="333">
        <f t="shared" si="9"/>
        <v>760881.72407864104</v>
      </c>
      <c r="W96" s="177"/>
      <c r="X96" s="177"/>
      <c r="Y96" s="177"/>
      <c r="Z96" s="15"/>
    </row>
    <row r="97" spans="1:26" x14ac:dyDescent="0.25">
      <c r="A97" s="108">
        <f>Données!A97</f>
        <v>5560</v>
      </c>
      <c r="B97" s="116" t="str">
        <f>Données!B97</f>
        <v>Grandevent</v>
      </c>
      <c r="C97" s="304">
        <f>Ressources!H97</f>
        <v>-297032.83969694946</v>
      </c>
      <c r="D97" s="304">
        <f>Ressources!L97</f>
        <v>0</v>
      </c>
      <c r="E97" s="332">
        <f>Ressources!T97</f>
        <v>-37321.681774958168</v>
      </c>
      <c r="F97" s="305">
        <f t="shared" si="5"/>
        <v>-334354.52147190762</v>
      </c>
      <c r="G97" s="304">
        <f>'Besoins structurels'!I97</f>
        <v>-17666</v>
      </c>
      <c r="H97" s="304">
        <f>'Besoins structurels'!N97</f>
        <v>0</v>
      </c>
      <c r="I97" s="304">
        <f>'Besoins structurels'!V97</f>
        <v>0</v>
      </c>
      <c r="J97" s="306">
        <f t="shared" si="6"/>
        <v>-17666</v>
      </c>
      <c r="K97" s="304">
        <f>'Charges des villes'!N97</f>
        <v>112680.54296629975</v>
      </c>
      <c r="L97" s="304">
        <f>'Charges des villes'!U97</f>
        <v>24378.772167349547</v>
      </c>
      <c r="M97" s="299">
        <f t="shared" si="7"/>
        <v>137059.3151336493</v>
      </c>
      <c r="N97" s="305">
        <f>-VLOOKUP(A97,Paramètres!$B$23:$C$316,2,FALSE)*$N$5</f>
        <v>0</v>
      </c>
      <c r="O97" s="319"/>
      <c r="P97" s="598">
        <f t="shared" si="8"/>
        <v>-214961.20633825831</v>
      </c>
      <c r="Q97" s="599"/>
      <c r="R97" s="599"/>
      <c r="S97" s="600"/>
      <c r="T97" s="305">
        <f>PCS!D97</f>
        <v>240251.08756274398</v>
      </c>
      <c r="U97" s="300">
        <f>Police!U97</f>
        <v>35922.248866741182</v>
      </c>
      <c r="V97" s="333">
        <f t="shared" si="9"/>
        <v>61212.130091226849</v>
      </c>
      <c r="W97" s="177"/>
      <c r="X97" s="177"/>
      <c r="Y97" s="177"/>
      <c r="Z97" s="15"/>
    </row>
    <row r="98" spans="1:26" x14ac:dyDescent="0.25">
      <c r="A98" s="108">
        <f>Données!A98</f>
        <v>5561</v>
      </c>
      <c r="B98" s="116" t="str">
        <f>Données!B98</f>
        <v>Grandson</v>
      </c>
      <c r="C98" s="304">
        <f>Ressources!H98</f>
        <v>-2046630.0518795382</v>
      </c>
      <c r="D98" s="304">
        <f>Ressources!L98</f>
        <v>0</v>
      </c>
      <c r="E98" s="332">
        <f>Ressources!T98</f>
        <v>-98263.161385407439</v>
      </c>
      <c r="F98" s="305">
        <f t="shared" si="5"/>
        <v>-2144893.2132649459</v>
      </c>
      <c r="G98" s="304">
        <f>'Besoins structurels'!I98</f>
        <v>0</v>
      </c>
      <c r="H98" s="304">
        <f>'Besoins structurels'!N98</f>
        <v>0</v>
      </c>
      <c r="I98" s="304">
        <f>'Besoins structurels'!V98</f>
        <v>0</v>
      </c>
      <c r="J98" s="306">
        <f t="shared" si="6"/>
        <v>0</v>
      </c>
      <c r="K98" s="304">
        <f>'Charges des villes'!N98</f>
        <v>895282.64867334184</v>
      </c>
      <c r="L98" s="304">
        <f>'Charges des villes'!U98</f>
        <v>343022.47476963612</v>
      </c>
      <c r="M98" s="299">
        <f t="shared" si="7"/>
        <v>1238305.1234429779</v>
      </c>
      <c r="N98" s="305">
        <f>-VLOOKUP(A98,Paramètres!$B$23:$C$316,2,FALSE)*$N$5</f>
        <v>-305700</v>
      </c>
      <c r="O98" s="319"/>
      <c r="P98" s="598">
        <f t="shared" si="8"/>
        <v>-1212288.089821968</v>
      </c>
      <c r="Q98" s="599"/>
      <c r="R98" s="599"/>
      <c r="S98" s="600"/>
      <c r="T98" s="305">
        <f>PCS!D98</f>
        <v>3380462.3980301446</v>
      </c>
      <c r="U98" s="300">
        <f>Police!U98</f>
        <v>570335.39391402015</v>
      </c>
      <c r="V98" s="333">
        <f t="shared" si="9"/>
        <v>2738509.702122197</v>
      </c>
      <c r="W98" s="177"/>
      <c r="X98" s="177"/>
      <c r="Y98" s="177"/>
      <c r="Z98" s="15"/>
    </row>
    <row r="99" spans="1:26" x14ac:dyDescent="0.25">
      <c r="A99" s="108">
        <f>Données!A99</f>
        <v>5562</v>
      </c>
      <c r="B99" s="116" t="str">
        <f>Données!B99</f>
        <v>Mauborget</v>
      </c>
      <c r="C99" s="304">
        <f>Ressources!H99</f>
        <v>-55905.721208542105</v>
      </c>
      <c r="D99" s="304">
        <f>Ressources!L99</f>
        <v>0</v>
      </c>
      <c r="E99" s="332">
        <f>Ressources!T99</f>
        <v>-8359.3073782957254</v>
      </c>
      <c r="F99" s="305">
        <f t="shared" si="5"/>
        <v>-64265.028586837827</v>
      </c>
      <c r="G99" s="304">
        <f>'Besoins structurels'!I99</f>
        <v>-47927</v>
      </c>
      <c r="H99" s="304">
        <f>'Besoins structurels'!N99</f>
        <v>-24251</v>
      </c>
      <c r="I99" s="304">
        <f>'Besoins structurels'!V99</f>
        <v>0</v>
      </c>
      <c r="J99" s="306">
        <f t="shared" si="6"/>
        <v>-72178</v>
      </c>
      <c r="K99" s="304">
        <f>'Charges des villes'!N99</f>
        <v>64054.91446631978</v>
      </c>
      <c r="L99" s="304">
        <f>'Charges des villes'!U99</f>
        <v>13858.472144924845</v>
      </c>
      <c r="M99" s="299">
        <f t="shared" si="7"/>
        <v>77913.386611244627</v>
      </c>
      <c r="N99" s="305">
        <f>-VLOOKUP(A99,Paramètres!$B$23:$C$316,2,FALSE)*$N$5</f>
        <v>0</v>
      </c>
      <c r="O99" s="319"/>
      <c r="P99" s="598">
        <f t="shared" si="8"/>
        <v>-58529.641975593186</v>
      </c>
      <c r="Q99" s="599"/>
      <c r="R99" s="599"/>
      <c r="S99" s="600"/>
      <c r="T99" s="305">
        <f>PCS!D99</f>
        <v>136574.2696933441</v>
      </c>
      <c r="U99" s="300">
        <f>Police!U99</f>
        <v>20420.531513458682</v>
      </c>
      <c r="V99" s="333">
        <f t="shared" si="9"/>
        <v>98465.159231209604</v>
      </c>
      <c r="W99" s="177"/>
      <c r="X99" s="177"/>
      <c r="Y99" s="177"/>
      <c r="Z99" s="15"/>
    </row>
    <row r="100" spans="1:26" x14ac:dyDescent="0.25">
      <c r="A100" s="108">
        <f>Données!A100</f>
        <v>5563</v>
      </c>
      <c r="B100" s="116" t="str">
        <f>Données!B100</f>
        <v>Mutrux</v>
      </c>
      <c r="C100" s="304">
        <f>Ressources!H100</f>
        <v>-172911.8174857985</v>
      </c>
      <c r="D100" s="304">
        <f>Ressources!L100</f>
        <v>0</v>
      </c>
      <c r="E100" s="332">
        <f>Ressources!T100</f>
        <v>-25950.802468648246</v>
      </c>
      <c r="F100" s="305">
        <f t="shared" si="5"/>
        <v>-198862.61995444674</v>
      </c>
      <c r="G100" s="304">
        <f>'Besoins structurels'!I100</f>
        <v>-23147</v>
      </c>
      <c r="H100" s="304">
        <f>'Besoins structurels'!N100</f>
        <v>-19802</v>
      </c>
      <c r="I100" s="304">
        <f>'Besoins structurels'!V100</f>
        <v>-8147</v>
      </c>
      <c r="J100" s="306">
        <f t="shared" si="6"/>
        <v>-51096</v>
      </c>
      <c r="K100" s="304">
        <f>'Charges des villes'!N100</f>
        <v>64522.468586511888</v>
      </c>
      <c r="L100" s="304">
        <f>'Charges des villes'!U100</f>
        <v>13959.628875909699</v>
      </c>
      <c r="M100" s="299">
        <f t="shared" si="7"/>
        <v>78482.097462421589</v>
      </c>
      <c r="N100" s="305">
        <f>-VLOOKUP(A100,Paramètres!$B$23:$C$316,2,FALSE)*$N$5</f>
        <v>0</v>
      </c>
      <c r="O100" s="319"/>
      <c r="P100" s="598">
        <f t="shared" si="8"/>
        <v>-171476.52249202516</v>
      </c>
      <c r="Q100" s="599"/>
      <c r="R100" s="599"/>
      <c r="S100" s="600"/>
      <c r="T100" s="305">
        <f>PCS!D100</f>
        <v>137571.16217285756</v>
      </c>
      <c r="U100" s="300">
        <f>Police!U100</f>
        <v>20569.586488009474</v>
      </c>
      <c r="V100" s="333">
        <f t="shared" si="9"/>
        <v>-13335.773831158134</v>
      </c>
      <c r="W100" s="177"/>
      <c r="X100" s="177"/>
      <c r="Y100" s="177"/>
      <c r="Z100" s="15"/>
    </row>
    <row r="101" spans="1:26" x14ac:dyDescent="0.25">
      <c r="A101" s="108">
        <f>Données!A101</f>
        <v>5564</v>
      </c>
      <c r="B101" s="116" t="str">
        <f>Données!B101</f>
        <v>Novalles</v>
      </c>
      <c r="C101" s="304">
        <f>Ressources!H101</f>
        <v>-154366.14657765775</v>
      </c>
      <c r="D101" s="304">
        <f>Ressources!L101</f>
        <v>-2593</v>
      </c>
      <c r="E101" s="332">
        <f>Ressources!T101</f>
        <v>-6042.3844870149733</v>
      </c>
      <c r="F101" s="305">
        <f t="shared" si="5"/>
        <v>-163001.53106467272</v>
      </c>
      <c r="G101" s="304">
        <f>'Besoins structurels'!I101</f>
        <v>-13070</v>
      </c>
      <c r="H101" s="304">
        <f>'Besoins structurels'!N101</f>
        <v>0</v>
      </c>
      <c r="I101" s="304">
        <f>'Besoins structurels'!V101</f>
        <v>-22451</v>
      </c>
      <c r="J101" s="306">
        <f t="shared" si="6"/>
        <v>-35521</v>
      </c>
      <c r="K101" s="304">
        <f>'Charges des villes'!N101</f>
        <v>49093.182620172091</v>
      </c>
      <c r="L101" s="304">
        <f>'Charges des villes'!U101</f>
        <v>10621.456753409553</v>
      </c>
      <c r="M101" s="299">
        <f t="shared" si="7"/>
        <v>59714.639373581645</v>
      </c>
      <c r="N101" s="305">
        <f>-VLOOKUP(A101,Paramètres!$B$23:$C$316,2,FALSE)*$N$5</f>
        <v>0</v>
      </c>
      <c r="O101" s="319"/>
      <c r="P101" s="598">
        <f t="shared" si="8"/>
        <v>-138807.89169109106</v>
      </c>
      <c r="Q101" s="599"/>
      <c r="R101" s="599"/>
      <c r="S101" s="600"/>
      <c r="T101" s="305">
        <f>PCS!D101</f>
        <v>104673.71034891336</v>
      </c>
      <c r="U101" s="300">
        <f>Police!U101</f>
        <v>15650.772327833296</v>
      </c>
      <c r="V101" s="333">
        <f t="shared" si="9"/>
        <v>-18483.409014344408</v>
      </c>
      <c r="W101" s="177"/>
      <c r="X101" s="177"/>
      <c r="Y101" s="177"/>
      <c r="Z101" s="15"/>
    </row>
    <row r="102" spans="1:26" x14ac:dyDescent="0.25">
      <c r="A102" s="108">
        <f>Données!A102</f>
        <v>5565</v>
      </c>
      <c r="B102" s="116" t="str">
        <f>Données!B102</f>
        <v>Onnens</v>
      </c>
      <c r="C102" s="304">
        <f>Ressources!H102</f>
        <v>-494931.05404556706</v>
      </c>
      <c r="D102" s="304">
        <f>Ressources!L102</f>
        <v>0</v>
      </c>
      <c r="E102" s="332">
        <f>Ressources!T102</f>
        <v>-26466.7526157799</v>
      </c>
      <c r="F102" s="305">
        <f t="shared" si="5"/>
        <v>-521397.80666134693</v>
      </c>
      <c r="G102" s="304">
        <f>'Besoins structurels'!I102</f>
        <v>-12584</v>
      </c>
      <c r="H102" s="304">
        <f>'Besoins structurels'!N102</f>
        <v>-281</v>
      </c>
      <c r="I102" s="304">
        <f>'Besoins structurels'!V102</f>
        <v>-5023</v>
      </c>
      <c r="J102" s="306">
        <f t="shared" si="6"/>
        <v>-17888</v>
      </c>
      <c r="K102" s="304">
        <f>'Charges des villes'!N102</f>
        <v>246401.02134124469</v>
      </c>
      <c r="L102" s="304">
        <f>'Charges des villes'!U102</f>
        <v>53309.597229017469</v>
      </c>
      <c r="M102" s="299">
        <f t="shared" si="7"/>
        <v>299710.61857026216</v>
      </c>
      <c r="N102" s="305">
        <f>-VLOOKUP(A102,Paramètres!$B$23:$C$316,2,FALSE)*$N$5</f>
        <v>0</v>
      </c>
      <c r="O102" s="319"/>
      <c r="P102" s="598">
        <f t="shared" si="8"/>
        <v>-239575.18809108477</v>
      </c>
      <c r="Q102" s="599"/>
      <c r="R102" s="599"/>
      <c r="S102" s="600"/>
      <c r="T102" s="305">
        <f>PCS!D102</f>
        <v>525362.33670359373</v>
      </c>
      <c r="U102" s="300">
        <f>Police!U102</f>
        <v>78551.971588268076</v>
      </c>
      <c r="V102" s="333">
        <f t="shared" si="9"/>
        <v>364339.12020077702</v>
      </c>
      <c r="W102" s="177"/>
      <c r="X102" s="177"/>
      <c r="Y102" s="177"/>
      <c r="Z102" s="15"/>
    </row>
    <row r="103" spans="1:26" x14ac:dyDescent="0.25">
      <c r="A103" s="108">
        <f>Données!A103</f>
        <v>5566</v>
      </c>
      <c r="B103" s="116" t="str">
        <f>Données!B103</f>
        <v>Provence</v>
      </c>
      <c r="C103" s="304">
        <f>Ressources!H103</f>
        <v>-587904.99659126368</v>
      </c>
      <c r="D103" s="304">
        <f>Ressources!L103</f>
        <v>-2641</v>
      </c>
      <c r="E103" s="332">
        <f>Ressources!T103</f>
        <v>-32319.618038412402</v>
      </c>
      <c r="F103" s="305">
        <f t="shared" si="5"/>
        <v>-622865.6146296761</v>
      </c>
      <c r="G103" s="304">
        <f>'Besoins structurels'!I103</f>
        <v>-306572</v>
      </c>
      <c r="H103" s="304">
        <f>'Besoins structurels'!N103</f>
        <v>-24394</v>
      </c>
      <c r="I103" s="304">
        <f>'Besoins structurels'!V103</f>
        <v>0</v>
      </c>
      <c r="J103" s="306">
        <f t="shared" si="6"/>
        <v>-330966</v>
      </c>
      <c r="K103" s="304">
        <f>'Charges des villes'!N103</f>
        <v>196840.28460088049</v>
      </c>
      <c r="L103" s="304">
        <f>'Charges des villes'!U103</f>
        <v>42586.983744623067</v>
      </c>
      <c r="M103" s="299">
        <f t="shared" si="7"/>
        <v>239427.26834550354</v>
      </c>
      <c r="N103" s="305">
        <f>-VLOOKUP(A103,Paramètres!$B$23:$C$316,2,FALSE)*$N$5</f>
        <v>0</v>
      </c>
      <c r="O103" s="319"/>
      <c r="P103" s="598">
        <f t="shared" si="8"/>
        <v>-714404.3462841725</v>
      </c>
      <c r="Q103" s="599"/>
      <c r="R103" s="599"/>
      <c r="S103" s="600"/>
      <c r="T103" s="305">
        <f>PCS!D103</f>
        <v>419691.73387516692</v>
      </c>
      <c r="U103" s="300">
        <f>Police!U103</f>
        <v>62752.144285883987</v>
      </c>
      <c r="V103" s="333">
        <f t="shared" si="9"/>
        <v>-231960.46812312159</v>
      </c>
      <c r="W103" s="177"/>
      <c r="X103" s="177"/>
      <c r="Y103" s="177"/>
      <c r="Z103" s="15"/>
    </row>
    <row r="104" spans="1:26" x14ac:dyDescent="0.25">
      <c r="A104" s="108">
        <f>Données!A104</f>
        <v>5568</v>
      </c>
      <c r="B104" s="116" t="str">
        <f>Données!B104</f>
        <v>Sainte-Croix</v>
      </c>
      <c r="C104" s="304">
        <f>Ressources!H104</f>
        <v>-7830799.2155639734</v>
      </c>
      <c r="D104" s="304">
        <f>Ressources!L104</f>
        <v>-192421</v>
      </c>
      <c r="E104" s="332">
        <f>Ressources!T104</f>
        <v>243355.73477485601</v>
      </c>
      <c r="F104" s="305">
        <f t="shared" si="5"/>
        <v>-7779864.4807891175</v>
      </c>
      <c r="G104" s="304">
        <f>'Besoins structurels'!I104</f>
        <v>-2101</v>
      </c>
      <c r="H104" s="304">
        <f>'Besoins structurels'!N104</f>
        <v>-894730</v>
      </c>
      <c r="I104" s="304">
        <f>'Besoins structurels'!V104</f>
        <v>0</v>
      </c>
      <c r="J104" s="306">
        <f t="shared" si="6"/>
        <v>-896831</v>
      </c>
      <c r="K104" s="304">
        <f>'Charges des villes'!N104</f>
        <v>777382.25784645136</v>
      </c>
      <c r="L104" s="304">
        <f>'Charges des villes'!U104</f>
        <v>520856.00784100749</v>
      </c>
      <c r="M104" s="299">
        <f t="shared" si="7"/>
        <v>1298238.2656874589</v>
      </c>
      <c r="N104" s="305">
        <f>-VLOOKUP(A104,Paramètres!$B$23:$C$316,2,FALSE)*$N$5</f>
        <v>0</v>
      </c>
      <c r="O104" s="319"/>
      <c r="P104" s="598">
        <f t="shared" si="8"/>
        <v>-7378457.2151016584</v>
      </c>
      <c r="Q104" s="599"/>
      <c r="R104" s="599"/>
      <c r="S104" s="600"/>
      <c r="T104" s="305">
        <f>PCS!D104</f>
        <v>5132999.3770148084</v>
      </c>
      <c r="U104" s="300">
        <f>Police!U104</f>
        <v>900400.00777593744</v>
      </c>
      <c r="V104" s="333">
        <f t="shared" si="9"/>
        <v>-1345057.8303109126</v>
      </c>
      <c r="W104" s="177"/>
      <c r="X104" s="177"/>
      <c r="Y104" s="177"/>
      <c r="Z104" s="15"/>
    </row>
    <row r="105" spans="1:26" x14ac:dyDescent="0.25">
      <c r="A105" s="108">
        <f>Données!A105</f>
        <v>5571</v>
      </c>
      <c r="B105" s="116" t="str">
        <f>Données!B105</f>
        <v>Tévenon</v>
      </c>
      <c r="C105" s="304">
        <f>Ressources!H105</f>
        <v>-881064.00517603359</v>
      </c>
      <c r="D105" s="304">
        <f>Ressources!L105</f>
        <v>0</v>
      </c>
      <c r="E105" s="332">
        <f>Ressources!T105</f>
        <v>-7693.0724321126763</v>
      </c>
      <c r="F105" s="305">
        <f t="shared" si="5"/>
        <v>-888757.07760814624</v>
      </c>
      <c r="G105" s="304">
        <f>'Besoins structurels'!I105</f>
        <v>-84272</v>
      </c>
      <c r="H105" s="304">
        <f>'Besoins structurels'!N105</f>
        <v>-84537</v>
      </c>
      <c r="I105" s="304">
        <f>'Besoins structurels'!V105</f>
        <v>-22154</v>
      </c>
      <c r="J105" s="306">
        <f t="shared" si="6"/>
        <v>-190963</v>
      </c>
      <c r="K105" s="304">
        <f>'Charges des villes'!N105</f>
        <v>400693.8810046427</v>
      </c>
      <c r="L105" s="304">
        <f>'Charges des villes'!U105</f>
        <v>86691.318454018925</v>
      </c>
      <c r="M105" s="299">
        <f t="shared" si="7"/>
        <v>487385.19945866161</v>
      </c>
      <c r="N105" s="305">
        <f>-VLOOKUP(A105,Paramètres!$B$23:$C$316,2,FALSE)*$N$5</f>
        <v>0</v>
      </c>
      <c r="O105" s="319"/>
      <c r="P105" s="598">
        <f t="shared" si="8"/>
        <v>-592334.87814948463</v>
      </c>
      <c r="Q105" s="599"/>
      <c r="R105" s="599"/>
      <c r="S105" s="600"/>
      <c r="T105" s="305">
        <f>PCS!D105</f>
        <v>854336.85494303575</v>
      </c>
      <c r="U105" s="300">
        <f>Police!U105</f>
        <v>127740.11319002986</v>
      </c>
      <c r="V105" s="333">
        <f t="shared" si="9"/>
        <v>389742.08998358098</v>
      </c>
      <c r="W105" s="177"/>
      <c r="X105" s="177"/>
      <c r="Y105" s="177"/>
      <c r="Z105" s="15"/>
    </row>
    <row r="106" spans="1:26" x14ac:dyDescent="0.25">
      <c r="A106" s="108">
        <f>Données!A106</f>
        <v>5581</v>
      </c>
      <c r="B106" s="116" t="str">
        <f>Données!B106</f>
        <v>Belmont-sur-Lausanne</v>
      </c>
      <c r="C106" s="304">
        <f>Ressources!H106</f>
        <v>1119784.9544479616</v>
      </c>
      <c r="D106" s="304">
        <f>Ressources!L106</f>
        <v>0</v>
      </c>
      <c r="E106" s="332">
        <f>Ressources!T106</f>
        <v>96273.173438330879</v>
      </c>
      <c r="F106" s="305">
        <f t="shared" si="5"/>
        <v>1216058.1278862925</v>
      </c>
      <c r="G106" s="304">
        <f>'Besoins structurels'!I106</f>
        <v>0</v>
      </c>
      <c r="H106" s="304">
        <f>'Besoins structurels'!N106</f>
        <v>-39904</v>
      </c>
      <c r="I106" s="304">
        <f>'Besoins structurels'!V106</f>
        <v>0</v>
      </c>
      <c r="J106" s="306">
        <f t="shared" si="6"/>
        <v>-39904</v>
      </c>
      <c r="K106" s="304">
        <f>'Charges des villes'!N106</f>
        <v>861750.11430846993</v>
      </c>
      <c r="L106" s="304">
        <f>'Charges des villes'!U106</f>
        <v>-416106.29373793741</v>
      </c>
      <c r="M106" s="299">
        <f t="shared" si="7"/>
        <v>445643.82057053252</v>
      </c>
      <c r="N106" s="305">
        <f>-VLOOKUP(A106,Paramètres!$B$23:$C$316,2,FALSE)*$N$5</f>
        <v>0</v>
      </c>
      <c r="O106" s="319"/>
      <c r="P106" s="598">
        <f t="shared" si="8"/>
        <v>1621797.948456825</v>
      </c>
      <c r="Q106" s="599"/>
      <c r="R106" s="599"/>
      <c r="S106" s="600"/>
      <c r="T106" s="305">
        <f>PCS!D106</f>
        <v>3878908.637786875</v>
      </c>
      <c r="U106" s="300">
        <f>Police!U106</f>
        <v>120571.89887621987</v>
      </c>
      <c r="V106" s="333">
        <f t="shared" si="9"/>
        <v>5621278.4851199202</v>
      </c>
      <c r="W106" s="177"/>
      <c r="X106" s="177"/>
      <c r="Y106" s="177"/>
      <c r="Z106" s="15"/>
    </row>
    <row r="107" spans="1:26" x14ac:dyDescent="0.25">
      <c r="A107" s="108">
        <f>Données!A107</f>
        <v>5582</v>
      </c>
      <c r="B107" s="116" t="str">
        <f>Données!B107</f>
        <v>Cheseaux-sur-Lausanne</v>
      </c>
      <c r="C107" s="304">
        <f>Ressources!H107</f>
        <v>-3400709.9358624103</v>
      </c>
      <c r="D107" s="304">
        <f>Ressources!L107</f>
        <v>0</v>
      </c>
      <c r="E107" s="332">
        <f>Ressources!T107</f>
        <v>-369295.11001678964</v>
      </c>
      <c r="F107" s="305">
        <f t="shared" si="5"/>
        <v>-3770005.0458792001</v>
      </c>
      <c r="G107" s="304">
        <f>'Besoins structurels'!I107</f>
        <v>0</v>
      </c>
      <c r="H107" s="304">
        <f>'Besoins structurels'!N107</f>
        <v>0</v>
      </c>
      <c r="I107" s="304">
        <f>'Besoins structurels'!V107</f>
        <v>0</v>
      </c>
      <c r="J107" s="306">
        <f t="shared" si="6"/>
        <v>0</v>
      </c>
      <c r="K107" s="304">
        <f>'Charges des villes'!N107</f>
        <v>796093.41202204954</v>
      </c>
      <c r="L107" s="304">
        <f>'Charges des villes'!U107</f>
        <v>492633.27989623352</v>
      </c>
      <c r="M107" s="299">
        <f t="shared" si="7"/>
        <v>1288726.691918283</v>
      </c>
      <c r="N107" s="305">
        <f>-VLOOKUP(A107,Paramètres!$B$23:$C$316,2,FALSE)*$N$5</f>
        <v>0</v>
      </c>
      <c r="O107" s="319"/>
      <c r="P107" s="598">
        <f t="shared" si="8"/>
        <v>-2481278.3539609173</v>
      </c>
      <c r="Q107" s="599"/>
      <c r="R107" s="599"/>
      <c r="S107" s="600"/>
      <c r="T107" s="305">
        <f>PCS!D107</f>
        <v>4854866.3752305526</v>
      </c>
      <c r="U107" s="300">
        <f>Police!U107</f>
        <v>846445.31194869848</v>
      </c>
      <c r="V107" s="333">
        <f t="shared" si="9"/>
        <v>3220033.3332183338</v>
      </c>
      <c r="W107" s="177"/>
      <c r="X107" s="177"/>
      <c r="Y107" s="177"/>
      <c r="Z107" s="15"/>
    </row>
    <row r="108" spans="1:26" x14ac:dyDescent="0.25">
      <c r="A108" s="108">
        <f>Données!A108</f>
        <v>5583</v>
      </c>
      <c r="B108" s="116" t="str">
        <f>Données!B108</f>
        <v>Crissier</v>
      </c>
      <c r="C108" s="304">
        <f>Ressources!H108</f>
        <v>-2922586.17512814</v>
      </c>
      <c r="D108" s="304">
        <f>Ressources!L108</f>
        <v>0</v>
      </c>
      <c r="E108" s="332">
        <f>Ressources!T108</f>
        <v>-489409.4293586514</v>
      </c>
      <c r="F108" s="305">
        <f t="shared" si="5"/>
        <v>-3411995.6044867914</v>
      </c>
      <c r="G108" s="304">
        <f>'Besoins structurels'!I108</f>
        <v>0</v>
      </c>
      <c r="H108" s="304">
        <f>'Besoins structurels'!N108</f>
        <v>0</v>
      </c>
      <c r="I108" s="304">
        <f>'Besoins structurels'!V108</f>
        <v>0</v>
      </c>
      <c r="J108" s="306">
        <f t="shared" si="6"/>
        <v>0</v>
      </c>
      <c r="K108" s="304">
        <f>'Charges des villes'!N108</f>
        <v>377204.99273606576</v>
      </c>
      <c r="L108" s="304">
        <f>'Charges des villes'!U108</f>
        <v>-1693664.3783723754</v>
      </c>
      <c r="M108" s="299">
        <f t="shared" si="7"/>
        <v>-1316459.3856363096</v>
      </c>
      <c r="N108" s="305">
        <f>-VLOOKUP(A108,Paramètres!$B$23:$C$316,2,FALSE)*$N$5</f>
        <v>0</v>
      </c>
      <c r="O108" s="319"/>
      <c r="P108" s="598">
        <f t="shared" si="8"/>
        <v>-4728454.9901231006</v>
      </c>
      <c r="Q108" s="599"/>
      <c r="R108" s="599"/>
      <c r="S108" s="600"/>
      <c r="T108" s="305">
        <f>PCS!D108</f>
        <v>11081456.802271627</v>
      </c>
      <c r="U108" s="300">
        <f>Police!U108</f>
        <v>344455.72549680289</v>
      </c>
      <c r="V108" s="333">
        <f t="shared" si="9"/>
        <v>6697457.5376453288</v>
      </c>
      <c r="W108" s="177"/>
      <c r="X108" s="177"/>
      <c r="Y108" s="177"/>
      <c r="Z108" s="15"/>
    </row>
    <row r="109" spans="1:26" x14ac:dyDescent="0.25">
      <c r="A109" s="108">
        <f>Données!A109</f>
        <v>5584</v>
      </c>
      <c r="B109" s="116" t="str">
        <f>Données!B109</f>
        <v>Epalinges</v>
      </c>
      <c r="C109" s="304">
        <f>Ressources!H109</f>
        <v>1035316.7718855174</v>
      </c>
      <c r="D109" s="304">
        <f>Ressources!L109</f>
        <v>0</v>
      </c>
      <c r="E109" s="332">
        <f>Ressources!T109</f>
        <v>-875249.6416890549</v>
      </c>
      <c r="F109" s="305">
        <f t="shared" si="5"/>
        <v>160067.1301964625</v>
      </c>
      <c r="G109" s="304">
        <f>'Besoins structurels'!I109</f>
        <v>0</v>
      </c>
      <c r="H109" s="304">
        <f>'Besoins structurels'!N109</f>
        <v>-673676</v>
      </c>
      <c r="I109" s="304">
        <f>'Besoins structurels'!V109</f>
        <v>0</v>
      </c>
      <c r="J109" s="306">
        <f t="shared" si="6"/>
        <v>-673676</v>
      </c>
      <c r="K109" s="304">
        <f>'Charges des villes'!N109</f>
        <v>460835.1334420573</v>
      </c>
      <c r="L109" s="304">
        <f>'Charges des villes'!U109</f>
        <v>-1484472.4619104867</v>
      </c>
      <c r="M109" s="299">
        <f t="shared" si="7"/>
        <v>-1023637.3284684294</v>
      </c>
      <c r="N109" s="305">
        <f>-VLOOKUP(A109,Paramètres!$B$23:$C$316,2,FALSE)*$N$5</f>
        <v>-250875</v>
      </c>
      <c r="O109" s="319"/>
      <c r="P109" s="598">
        <f t="shared" si="8"/>
        <v>-1788121.198271967</v>
      </c>
      <c r="Q109" s="599"/>
      <c r="R109" s="599"/>
      <c r="S109" s="600"/>
      <c r="T109" s="305">
        <f>PCS!D109</f>
        <v>9838331.8803183418</v>
      </c>
      <c r="U109" s="300">
        <f>Police!U109</f>
        <v>1840769.7084188459</v>
      </c>
      <c r="V109" s="333">
        <f t="shared" si="9"/>
        <v>9890980.3904652204</v>
      </c>
      <c r="W109" s="177"/>
      <c r="X109" s="177"/>
      <c r="Y109" s="177"/>
      <c r="Z109" s="15"/>
    </row>
    <row r="110" spans="1:26" x14ac:dyDescent="0.25">
      <c r="A110" s="108">
        <f>Données!A110</f>
        <v>5585</v>
      </c>
      <c r="B110" s="116" t="str">
        <f>Données!B110</f>
        <v>Jouxtens-Mézery</v>
      </c>
      <c r="C110" s="304">
        <f>Ressources!H110</f>
        <v>9844847.3950263262</v>
      </c>
      <c r="D110" s="304">
        <f>Ressources!L110</f>
        <v>0</v>
      </c>
      <c r="E110" s="332">
        <f>Ressources!T110</f>
        <v>295323.9735370783</v>
      </c>
      <c r="F110" s="305">
        <f t="shared" si="5"/>
        <v>10140171.368563404</v>
      </c>
      <c r="G110" s="304">
        <f>'Besoins structurels'!I110</f>
        <v>0</v>
      </c>
      <c r="H110" s="304">
        <f>'Besoins structurels'!N110</f>
        <v>0</v>
      </c>
      <c r="I110" s="304">
        <f>'Besoins structurels'!V110</f>
        <v>0</v>
      </c>
      <c r="J110" s="306">
        <f t="shared" si="6"/>
        <v>0</v>
      </c>
      <c r="K110" s="304">
        <f>'Charges des villes'!N110</f>
        <v>570827.96594777692</v>
      </c>
      <c r="L110" s="304">
        <f>'Charges des villes'!U110</f>
        <v>147183.04358296093</v>
      </c>
      <c r="M110" s="299">
        <f t="shared" si="7"/>
        <v>718011.00953073788</v>
      </c>
      <c r="N110" s="305">
        <f>-VLOOKUP(A110,Paramètres!$B$23:$C$316,2,FALSE)*$N$5</f>
        <v>0</v>
      </c>
      <c r="O110" s="319"/>
      <c r="P110" s="598">
        <f t="shared" si="8"/>
        <v>10858182.378094142</v>
      </c>
      <c r="Q110" s="599"/>
      <c r="R110" s="599"/>
      <c r="S110" s="600"/>
      <c r="T110" s="305">
        <f>PCS!D110</f>
        <v>1450478.5576920852</v>
      </c>
      <c r="U110" s="300">
        <f>Police!U110</f>
        <v>228290.00390861183</v>
      </c>
      <c r="V110" s="333">
        <f t="shared" si="9"/>
        <v>12536950.939694839</v>
      </c>
      <c r="W110" s="177"/>
      <c r="X110" s="177"/>
      <c r="Y110" s="177"/>
      <c r="Z110" s="15"/>
    </row>
    <row r="111" spans="1:26" x14ac:dyDescent="0.25">
      <c r="A111" s="108">
        <f>Données!A111</f>
        <v>5586</v>
      </c>
      <c r="B111" s="116" t="str">
        <f>Données!B111</f>
        <v>Lausanne</v>
      </c>
      <c r="C111" s="304">
        <f>Ressources!H111</f>
        <v>4236415.7352450546</v>
      </c>
      <c r="D111" s="304">
        <f>Ressources!L111</f>
        <v>0</v>
      </c>
      <c r="E111" s="332">
        <f>Ressources!T111</f>
        <v>-3220560.1849951483</v>
      </c>
      <c r="F111" s="305">
        <f t="shared" si="5"/>
        <v>1015855.5502499063</v>
      </c>
      <c r="G111" s="304">
        <f>'Besoins structurels'!I111</f>
        <v>0</v>
      </c>
      <c r="H111" s="304">
        <f>'Besoins structurels'!N111</f>
        <v>-241180</v>
      </c>
      <c r="I111" s="304">
        <f>'Besoins structurels'!V111</f>
        <v>0</v>
      </c>
      <c r="J111" s="306">
        <f t="shared" si="6"/>
        <v>-241180</v>
      </c>
      <c r="K111" s="304">
        <f>'Charges des villes'!N111</f>
        <v>-80818650.340324745</v>
      </c>
      <c r="L111" s="304">
        <f>'Charges des villes'!U111</f>
        <v>-18237236.774390038</v>
      </c>
      <c r="M111" s="299">
        <f t="shared" si="7"/>
        <v>-99055887.114714786</v>
      </c>
      <c r="N111" s="305">
        <f>-VLOOKUP(A111,Paramètres!$B$23:$C$316,2,FALSE)*$N$5</f>
        <v>0</v>
      </c>
      <c r="O111" s="319"/>
      <c r="P111" s="598">
        <f t="shared" si="8"/>
        <v>-98281211.564464882</v>
      </c>
      <c r="Q111" s="599"/>
      <c r="R111" s="599"/>
      <c r="S111" s="600"/>
      <c r="T111" s="305">
        <f>PCS!D111</f>
        <v>145254212.5124678</v>
      </c>
      <c r="U111" s="300">
        <f>Police!U111</f>
        <v>4515078.3010941576</v>
      </c>
      <c r="V111" s="333">
        <f t="shared" si="9"/>
        <v>51488079.249097079</v>
      </c>
      <c r="W111" s="177"/>
      <c r="X111" s="177"/>
      <c r="Y111" s="177"/>
      <c r="Z111" s="15"/>
    </row>
    <row r="112" spans="1:26" x14ac:dyDescent="0.25">
      <c r="A112" s="108">
        <f>Données!A112</f>
        <v>5587</v>
      </c>
      <c r="B112" s="116" t="str">
        <f>Données!B112</f>
        <v>Le Mont-sur-Lausanne</v>
      </c>
      <c r="C112" s="304">
        <f>Ressources!H112</f>
        <v>2613133.9576747613</v>
      </c>
      <c r="D112" s="304">
        <f>Ressources!L112</f>
        <v>0</v>
      </c>
      <c r="E112" s="332">
        <f>Ressources!T112</f>
        <v>136752.33090055711</v>
      </c>
      <c r="F112" s="305">
        <f t="shared" si="5"/>
        <v>2749886.2885753186</v>
      </c>
      <c r="G112" s="304">
        <f>'Besoins structurels'!I112</f>
        <v>0</v>
      </c>
      <c r="H112" s="304">
        <f>'Besoins structurels'!N112</f>
        <v>-31342</v>
      </c>
      <c r="I112" s="304">
        <f>'Besoins structurels'!V112</f>
        <v>0</v>
      </c>
      <c r="J112" s="306">
        <f t="shared" si="6"/>
        <v>-31342</v>
      </c>
      <c r="K112" s="304">
        <f>'Charges des villes'!N112</f>
        <v>466468.5992153557</v>
      </c>
      <c r="L112" s="304">
        <f>'Charges des villes'!U112</f>
        <v>-529806.16331321432</v>
      </c>
      <c r="M112" s="299">
        <f t="shared" si="7"/>
        <v>-63337.564097858616</v>
      </c>
      <c r="N112" s="305">
        <f>-VLOOKUP(A112,Paramètres!$B$23:$C$316,2,FALSE)*$N$5</f>
        <v>-436725</v>
      </c>
      <c r="O112" s="319"/>
      <c r="P112" s="598">
        <f t="shared" si="8"/>
        <v>2218481.7244774601</v>
      </c>
      <c r="Q112" s="599"/>
      <c r="R112" s="599"/>
      <c r="S112" s="600"/>
      <c r="T112" s="305">
        <f>PCS!D112</f>
        <v>9754592.912039211</v>
      </c>
      <c r="U112" s="300">
        <f>Police!U112</f>
        <v>1824034.3154413025</v>
      </c>
      <c r="V112" s="333">
        <f t="shared" si="9"/>
        <v>13797108.951957975</v>
      </c>
      <c r="W112" s="177"/>
      <c r="X112" s="177"/>
      <c r="Y112" s="177"/>
      <c r="Z112" s="15"/>
    </row>
    <row r="113" spans="1:26" x14ac:dyDescent="0.25">
      <c r="A113" s="108">
        <f>Données!A113</f>
        <v>5588</v>
      </c>
      <c r="B113" s="116" t="str">
        <f>Données!B113</f>
        <v>Paudex</v>
      </c>
      <c r="C113" s="304">
        <f>Ressources!H113</f>
        <v>2037095.3537441115</v>
      </c>
      <c r="D113" s="304">
        <f>Ressources!L113</f>
        <v>0</v>
      </c>
      <c r="E113" s="332">
        <f>Ressources!T113</f>
        <v>56255.096007207641</v>
      </c>
      <c r="F113" s="305">
        <f t="shared" si="5"/>
        <v>2093350.4497513191</v>
      </c>
      <c r="G113" s="304">
        <f>'Besoins structurels'!I113</f>
        <v>0</v>
      </c>
      <c r="H113" s="304">
        <f>'Besoins structurels'!N113</f>
        <v>0</v>
      </c>
      <c r="I113" s="304">
        <f>'Besoins structurels'!V113</f>
        <v>0</v>
      </c>
      <c r="J113" s="306">
        <f t="shared" si="6"/>
        <v>0</v>
      </c>
      <c r="K113" s="304">
        <f>'Charges des villes'!N113</f>
        <v>577183.27953274059</v>
      </c>
      <c r="L113" s="304">
        <f>'Charges des villes'!U113</f>
        <v>-125243.54394946314</v>
      </c>
      <c r="M113" s="299">
        <f t="shared" si="7"/>
        <v>451939.73558327742</v>
      </c>
      <c r="N113" s="305">
        <f>-VLOOKUP(A113,Paramètres!$B$23:$C$316,2,FALSE)*$N$5</f>
        <v>0</v>
      </c>
      <c r="O113" s="319"/>
      <c r="P113" s="598">
        <f t="shared" si="8"/>
        <v>2545290.1853345968</v>
      </c>
      <c r="Q113" s="599"/>
      <c r="R113" s="599"/>
      <c r="S113" s="600"/>
      <c r="T113" s="305">
        <f>PCS!D113</f>
        <v>1478391.5471184619</v>
      </c>
      <c r="U113" s="300">
        <f>Police!U113</f>
        <v>45954.285796307908</v>
      </c>
      <c r="V113" s="333">
        <f t="shared" si="9"/>
        <v>4069636.0182493664</v>
      </c>
      <c r="W113" s="177"/>
      <c r="X113" s="177"/>
      <c r="Y113" s="177"/>
      <c r="Z113" s="15"/>
    </row>
    <row r="114" spans="1:26" x14ac:dyDescent="0.25">
      <c r="A114" s="108">
        <f>Données!A114</f>
        <v>5589</v>
      </c>
      <c r="B114" s="116" t="str">
        <f>Données!B114</f>
        <v>Prilly</v>
      </c>
      <c r="C114" s="304">
        <f>Ressources!H114</f>
        <v>-9440187.7181771845</v>
      </c>
      <c r="D114" s="304">
        <f>Ressources!L114</f>
        <v>0</v>
      </c>
      <c r="E114" s="332">
        <f>Ressources!T114</f>
        <v>-528197.92581713013</v>
      </c>
      <c r="F114" s="305">
        <f t="shared" si="5"/>
        <v>-9968385.6439943146</v>
      </c>
      <c r="G114" s="304">
        <f>'Besoins structurels'!I114</f>
        <v>0</v>
      </c>
      <c r="H114" s="304">
        <f>'Besoins structurels'!N114</f>
        <v>0</v>
      </c>
      <c r="I114" s="304">
        <f>'Besoins structurels'!V114</f>
        <v>0</v>
      </c>
      <c r="J114" s="306">
        <f t="shared" si="6"/>
        <v>0</v>
      </c>
      <c r="K114" s="304">
        <f>'Charges des villes'!N114</f>
        <v>-182404.02121122647</v>
      </c>
      <c r="L114" s="304">
        <f>'Charges des villes'!U114</f>
        <v>-876151.68275895761</v>
      </c>
      <c r="M114" s="299">
        <f t="shared" si="7"/>
        <v>-1058555.7039701841</v>
      </c>
      <c r="N114" s="305">
        <f>-VLOOKUP(A114,Paramètres!$B$23:$C$316,2,FALSE)*$N$5</f>
        <v>-10725</v>
      </c>
      <c r="O114" s="319"/>
      <c r="P114" s="598">
        <f t="shared" si="8"/>
        <v>-11037666.347964499</v>
      </c>
      <c r="Q114" s="599"/>
      <c r="R114" s="599"/>
      <c r="S114" s="600"/>
      <c r="T114" s="305">
        <f>PCS!D114</f>
        <v>13028387.814761415</v>
      </c>
      <c r="U114" s="300">
        <f>Police!U114</f>
        <v>404974.08029126638</v>
      </c>
      <c r="V114" s="333">
        <f t="shared" si="9"/>
        <v>2395695.5470881825</v>
      </c>
      <c r="W114" s="177"/>
      <c r="X114" s="177"/>
      <c r="Y114" s="177"/>
      <c r="Z114" s="15"/>
    </row>
    <row r="115" spans="1:26" x14ac:dyDescent="0.25">
      <c r="A115" s="108">
        <f>Données!A115</f>
        <v>5590</v>
      </c>
      <c r="B115" s="116" t="str">
        <f>Données!B115</f>
        <v>Pully</v>
      </c>
      <c r="C115" s="304">
        <f>Ressources!H115</f>
        <v>38146227.444552459</v>
      </c>
      <c r="D115" s="304">
        <f>Ressources!L115</f>
        <v>0</v>
      </c>
      <c r="E115" s="332">
        <f>Ressources!T115</f>
        <v>1155034.4436081648</v>
      </c>
      <c r="F115" s="305">
        <f t="shared" si="5"/>
        <v>39301261.888160624</v>
      </c>
      <c r="G115" s="304">
        <f>'Besoins structurels'!I115</f>
        <v>0</v>
      </c>
      <c r="H115" s="304">
        <f>'Besoins structurels'!N115</f>
        <v>-4994</v>
      </c>
      <c r="I115" s="304">
        <f>'Besoins structurels'!V115</f>
        <v>0</v>
      </c>
      <c r="J115" s="306">
        <f t="shared" si="6"/>
        <v>-4994</v>
      </c>
      <c r="K115" s="304">
        <f>'Charges des villes'!N115</f>
        <v>-3458954.6851600744</v>
      </c>
      <c r="L115" s="304">
        <f>'Charges des villes'!U115</f>
        <v>-3156371.703246126</v>
      </c>
      <c r="M115" s="299">
        <f t="shared" si="7"/>
        <v>-6615326.3884062003</v>
      </c>
      <c r="N115" s="305">
        <f>-VLOOKUP(A115,Paramètres!$B$23:$C$316,2,FALSE)*$N$5</f>
        <v>0</v>
      </c>
      <c r="O115" s="319"/>
      <c r="P115" s="598">
        <f t="shared" si="8"/>
        <v>32680941.499754421</v>
      </c>
      <c r="Q115" s="599"/>
      <c r="R115" s="599"/>
      <c r="S115" s="600"/>
      <c r="T115" s="305">
        <f>PCS!D115</f>
        <v>19489247.974488154</v>
      </c>
      <c r="U115" s="300">
        <f>Police!U115</f>
        <v>605803.29556157766</v>
      </c>
      <c r="V115" s="333">
        <f t="shared" si="9"/>
        <v>52775992.76980415</v>
      </c>
      <c r="W115" s="177"/>
      <c r="X115" s="177"/>
      <c r="Y115" s="177"/>
      <c r="Z115" s="15"/>
    </row>
    <row r="116" spans="1:26" x14ac:dyDescent="0.25">
      <c r="A116" s="108">
        <f>Données!A116</f>
        <v>5591</v>
      </c>
      <c r="B116" s="116" t="str">
        <f>Données!B116</f>
        <v>Renens</v>
      </c>
      <c r="C116" s="304">
        <f>Ressources!H116</f>
        <v>-23560103.405163694</v>
      </c>
      <c r="D116" s="304">
        <f>Ressources!L116</f>
        <v>0</v>
      </c>
      <c r="E116" s="332">
        <f>Ressources!T116</f>
        <v>-1517333.6871245308</v>
      </c>
      <c r="F116" s="305">
        <f t="shared" si="5"/>
        <v>-25077437.092288226</v>
      </c>
      <c r="G116" s="304">
        <f>'Besoins structurels'!I116</f>
        <v>0</v>
      </c>
      <c r="H116" s="304">
        <f>'Besoins structurels'!N116</f>
        <v>0</v>
      </c>
      <c r="I116" s="304">
        <f>'Besoins structurels'!V116</f>
        <v>0</v>
      </c>
      <c r="J116" s="306">
        <f t="shared" si="6"/>
        <v>0</v>
      </c>
      <c r="K116" s="304">
        <f>'Charges des villes'!N116</f>
        <v>-4646390.5558565166</v>
      </c>
      <c r="L116" s="304">
        <f>'Charges des villes'!U116</f>
        <v>-3308081.2087936159</v>
      </c>
      <c r="M116" s="299">
        <f t="shared" si="7"/>
        <v>-7954471.7646501325</v>
      </c>
      <c r="N116" s="305">
        <f>-VLOOKUP(A116,Paramètres!$B$23:$C$316,2,FALSE)*$N$5</f>
        <v>-64725</v>
      </c>
      <c r="O116" s="319"/>
      <c r="P116" s="598">
        <f t="shared" si="8"/>
        <v>-33096633.856938358</v>
      </c>
      <c r="Q116" s="599"/>
      <c r="R116" s="599"/>
      <c r="S116" s="600"/>
      <c r="T116" s="305">
        <f>PCS!D116</f>
        <v>21759172.150340304</v>
      </c>
      <c r="U116" s="300">
        <f>Police!U116</f>
        <v>676361.56175051432</v>
      </c>
      <c r="V116" s="333">
        <f t="shared" si="9"/>
        <v>-10661100.14484754</v>
      </c>
      <c r="W116" s="177"/>
      <c r="X116" s="177"/>
      <c r="Y116" s="177"/>
      <c r="Z116" s="15"/>
    </row>
    <row r="117" spans="1:26" x14ac:dyDescent="0.25">
      <c r="A117" s="108">
        <f>Données!A117</f>
        <v>5592</v>
      </c>
      <c r="B117" s="116" t="str">
        <f>Données!B117</f>
        <v>Romanel-sur-Lausanne</v>
      </c>
      <c r="C117" s="304">
        <f>Ressources!H117</f>
        <v>-3833290.2464840654</v>
      </c>
      <c r="D117" s="304">
        <f>Ressources!L117</f>
        <v>0</v>
      </c>
      <c r="E117" s="332">
        <f>Ressources!T117</f>
        <v>17634.528683220502</v>
      </c>
      <c r="F117" s="305">
        <f t="shared" si="5"/>
        <v>-3815655.7178008449</v>
      </c>
      <c r="G117" s="304">
        <f>'Besoins structurels'!I117</f>
        <v>0</v>
      </c>
      <c r="H117" s="304">
        <f>'Besoins structurels'!N117</f>
        <v>0</v>
      </c>
      <c r="I117" s="304">
        <f>'Besoins structurels'!V117</f>
        <v>0</v>
      </c>
      <c r="J117" s="306">
        <f t="shared" si="6"/>
        <v>0</v>
      </c>
      <c r="K117" s="304">
        <f>'Charges des villes'!N117</f>
        <v>832241.48406738229</v>
      </c>
      <c r="L117" s="304">
        <f>'Charges des villes'!U117</f>
        <v>438109.80189539783</v>
      </c>
      <c r="M117" s="299">
        <f t="shared" si="7"/>
        <v>1270351.28596278</v>
      </c>
      <c r="N117" s="305">
        <f>-VLOOKUP(A117,Paramètres!$B$23:$C$316,2,FALSE)*$N$5</f>
        <v>0</v>
      </c>
      <c r="O117" s="319"/>
      <c r="P117" s="598">
        <f t="shared" si="8"/>
        <v>-2545304.4318380649</v>
      </c>
      <c r="Q117" s="599"/>
      <c r="R117" s="599"/>
      <c r="S117" s="600"/>
      <c r="T117" s="305">
        <f>PCS!D117</f>
        <v>4317541.3287727972</v>
      </c>
      <c r="U117" s="300">
        <f>Police!U117</f>
        <v>745821.07542355196</v>
      </c>
      <c r="V117" s="333">
        <f t="shared" si="9"/>
        <v>2518057.9723582845</v>
      </c>
      <c r="W117" s="177"/>
      <c r="X117" s="177"/>
      <c r="Y117" s="177"/>
      <c r="Z117" s="15"/>
    </row>
    <row r="118" spans="1:26" x14ac:dyDescent="0.25">
      <c r="A118" s="108">
        <f>Données!A118</f>
        <v>5601</v>
      </c>
      <c r="B118" s="116" t="str">
        <f>Données!B118</f>
        <v>Chexbres</v>
      </c>
      <c r="C118" s="304">
        <f>Ressources!H118</f>
        <v>22456.302454215544</v>
      </c>
      <c r="D118" s="304">
        <f>Ressources!L118</f>
        <v>0</v>
      </c>
      <c r="E118" s="332">
        <f>Ressources!T118</f>
        <v>502310.77971906652</v>
      </c>
      <c r="F118" s="305">
        <f t="shared" si="5"/>
        <v>524767.08217328205</v>
      </c>
      <c r="G118" s="304">
        <f>'Besoins structurels'!I118</f>
        <v>0</v>
      </c>
      <c r="H118" s="304">
        <f>'Besoins structurels'!N118</f>
        <v>0</v>
      </c>
      <c r="I118" s="304">
        <f>'Besoins structurels'!V118</f>
        <v>0</v>
      </c>
      <c r="J118" s="306">
        <f t="shared" si="6"/>
        <v>0</v>
      </c>
      <c r="K118" s="304">
        <f>'Charges des villes'!N118</f>
        <v>756266.9373376132</v>
      </c>
      <c r="L118" s="304">
        <f>'Charges des villes'!U118</f>
        <v>229828.09279758576</v>
      </c>
      <c r="M118" s="299">
        <f t="shared" si="7"/>
        <v>986095.03013519896</v>
      </c>
      <c r="N118" s="305">
        <f>-VLOOKUP(A118,Paramètres!$B$23:$C$316,2,FALSE)*$N$5</f>
        <v>0</v>
      </c>
      <c r="O118" s="319"/>
      <c r="P118" s="598">
        <f t="shared" si="8"/>
        <v>1510862.112308481</v>
      </c>
      <c r="Q118" s="599"/>
      <c r="R118" s="599"/>
      <c r="S118" s="600"/>
      <c r="T118" s="305">
        <f>PCS!D118</f>
        <v>2264939.7134545823</v>
      </c>
      <c r="U118" s="300">
        <f>Police!U118</f>
        <v>70403.329284700987</v>
      </c>
      <c r="V118" s="333">
        <f t="shared" si="9"/>
        <v>3846205.1550477645</v>
      </c>
      <c r="W118" s="177"/>
      <c r="X118" s="177"/>
      <c r="Y118" s="177"/>
      <c r="Z118" s="15"/>
    </row>
    <row r="119" spans="1:26" x14ac:dyDescent="0.25">
      <c r="A119" s="108">
        <f>Données!A119</f>
        <v>5604</v>
      </c>
      <c r="B119" s="116" t="str">
        <f>Données!B119</f>
        <v>Forel (Lavaux)</v>
      </c>
      <c r="C119" s="304">
        <f>Ressources!H119</f>
        <v>-1286637.5335113774</v>
      </c>
      <c r="D119" s="304">
        <f>Ressources!L119</f>
        <v>0</v>
      </c>
      <c r="E119" s="332">
        <f>Ressources!T119</f>
        <v>-73178.715914882137</v>
      </c>
      <c r="F119" s="305">
        <f t="shared" si="5"/>
        <v>-1359816.2494262597</v>
      </c>
      <c r="G119" s="304">
        <f>'Besoins structurels'!I119</f>
        <v>-27801</v>
      </c>
      <c r="H119" s="304">
        <f>'Besoins structurels'!N119</f>
        <v>-30466</v>
      </c>
      <c r="I119" s="304">
        <f>'Besoins structurels'!V119</f>
        <v>-8627</v>
      </c>
      <c r="J119" s="306">
        <f t="shared" si="6"/>
        <v>-66894</v>
      </c>
      <c r="K119" s="304">
        <f>'Charges des villes'!N119</f>
        <v>720177.83519442589</v>
      </c>
      <c r="L119" s="304">
        <f>'Charges des villes'!U119</f>
        <v>213744.17257099415</v>
      </c>
      <c r="M119" s="299">
        <f t="shared" si="7"/>
        <v>933922.00776542001</v>
      </c>
      <c r="N119" s="305">
        <f>-VLOOKUP(A119,Paramètres!$B$23:$C$316,2,FALSE)*$N$5</f>
        <v>-36900</v>
      </c>
      <c r="O119" s="319"/>
      <c r="P119" s="598">
        <f t="shared" si="8"/>
        <v>-529688.24166083965</v>
      </c>
      <c r="Q119" s="599"/>
      <c r="R119" s="599"/>
      <c r="S119" s="600"/>
      <c r="T119" s="305">
        <f>PCS!D119</f>
        <v>2106433.8092119424</v>
      </c>
      <c r="U119" s="300">
        <f>Police!U119</f>
        <v>342876.04636453406</v>
      </c>
      <c r="V119" s="333">
        <f t="shared" si="9"/>
        <v>1919621.6139156367</v>
      </c>
      <c r="W119" s="177"/>
      <c r="X119" s="177"/>
      <c r="Y119" s="177"/>
      <c r="Z119" s="15"/>
    </row>
    <row r="120" spans="1:26" x14ac:dyDescent="0.25">
      <c r="A120" s="108">
        <f>Données!A120</f>
        <v>5606</v>
      </c>
      <c r="B120" s="116" t="str">
        <f>Données!B120</f>
        <v>Lutry</v>
      </c>
      <c r="C120" s="304">
        <f>Ressources!H120</f>
        <v>22404276.485143494</v>
      </c>
      <c r="D120" s="304">
        <f>Ressources!L120</f>
        <v>0</v>
      </c>
      <c r="E120" s="332">
        <f>Ressources!T120</f>
        <v>667079.05530758714</v>
      </c>
      <c r="F120" s="305">
        <f t="shared" si="5"/>
        <v>23071355.54045108</v>
      </c>
      <c r="G120" s="304">
        <f>'Besoins structurels'!I120</f>
        <v>0</v>
      </c>
      <c r="H120" s="304">
        <f>'Besoins structurels'!N120</f>
        <v>-7240</v>
      </c>
      <c r="I120" s="304">
        <f>'Besoins structurels'!V120</f>
        <v>0</v>
      </c>
      <c r="J120" s="306">
        <f t="shared" si="6"/>
        <v>-7240</v>
      </c>
      <c r="K120" s="304">
        <f>'Charges des villes'!N120</f>
        <v>395513.75649928674</v>
      </c>
      <c r="L120" s="304">
        <f>'Charges des villes'!U120</f>
        <v>-1365314.5419312399</v>
      </c>
      <c r="M120" s="299">
        <f t="shared" si="7"/>
        <v>-969800.78543195315</v>
      </c>
      <c r="N120" s="305">
        <f>-VLOOKUP(A120,Paramètres!$B$23:$C$316,2,FALSE)*$N$5</f>
        <v>0</v>
      </c>
      <c r="O120" s="319"/>
      <c r="P120" s="598">
        <f t="shared" si="8"/>
        <v>22094314.755019128</v>
      </c>
      <c r="Q120" s="599"/>
      <c r="R120" s="599"/>
      <c r="S120" s="600"/>
      <c r="T120" s="305">
        <f>PCS!D120</f>
        <v>10809305.155364452</v>
      </c>
      <c r="U120" s="300">
        <f>Police!U120</f>
        <v>335996.17052553379</v>
      </c>
      <c r="V120" s="333">
        <f t="shared" si="9"/>
        <v>33239616.080909114</v>
      </c>
      <c r="W120" s="177"/>
      <c r="X120" s="177"/>
      <c r="Y120" s="177"/>
      <c r="Z120" s="15"/>
    </row>
    <row r="121" spans="1:26" x14ac:dyDescent="0.25">
      <c r="A121" s="108">
        <f>Données!A121</f>
        <v>5607</v>
      </c>
      <c r="B121" s="116" t="str">
        <f>Données!B121</f>
        <v>Puidoux</v>
      </c>
      <c r="C121" s="304">
        <f>Ressources!H121</f>
        <v>-1035172.2519823783</v>
      </c>
      <c r="D121" s="304">
        <f>Ressources!L121</f>
        <v>0</v>
      </c>
      <c r="E121" s="332">
        <f>Ressources!T121</f>
        <v>-269447.06232250587</v>
      </c>
      <c r="F121" s="305">
        <f t="shared" si="5"/>
        <v>-1304619.3143048841</v>
      </c>
      <c r="G121" s="304">
        <f>'Besoins structurels'!I121</f>
        <v>0</v>
      </c>
      <c r="H121" s="304">
        <f>'Besoins structurels'!N121</f>
        <v>-12819</v>
      </c>
      <c r="I121" s="304">
        <f>'Besoins structurels'!V121</f>
        <v>0</v>
      </c>
      <c r="J121" s="306">
        <f t="shared" si="6"/>
        <v>-12819</v>
      </c>
      <c r="K121" s="304">
        <f>'Charges des villes'!N121</f>
        <v>920566.17958445544</v>
      </c>
      <c r="L121" s="304">
        <f>'Charges des villes'!U121</f>
        <v>304886.38718834659</v>
      </c>
      <c r="M121" s="299">
        <f t="shared" si="7"/>
        <v>1225452.566772802</v>
      </c>
      <c r="N121" s="305">
        <f>-VLOOKUP(A121,Paramètres!$B$23:$C$316,2,FALSE)*$N$5</f>
        <v>-196575</v>
      </c>
      <c r="O121" s="319"/>
      <c r="P121" s="598">
        <f t="shared" si="8"/>
        <v>-288560.74753208202</v>
      </c>
      <c r="Q121" s="599"/>
      <c r="R121" s="599"/>
      <c r="S121" s="600"/>
      <c r="T121" s="305">
        <f>PCS!D121</f>
        <v>3004633.93325357</v>
      </c>
      <c r="U121" s="300">
        <f>Police!U121</f>
        <v>93395.965873278517</v>
      </c>
      <c r="V121" s="333">
        <f t="shared" si="9"/>
        <v>2809469.1515947664</v>
      </c>
      <c r="W121" s="177"/>
      <c r="X121" s="177"/>
      <c r="Y121" s="177"/>
      <c r="Z121" s="15"/>
    </row>
    <row r="122" spans="1:26" x14ac:dyDescent="0.25">
      <c r="A122" s="108">
        <f>Données!A122</f>
        <v>5609</v>
      </c>
      <c r="B122" s="116" t="str">
        <f>Données!B122</f>
        <v>Rivaz</v>
      </c>
      <c r="C122" s="304">
        <f>Ressources!H122</f>
        <v>-9899.1276682639364</v>
      </c>
      <c r="D122" s="304">
        <f>Ressources!L122</f>
        <v>0</v>
      </c>
      <c r="E122" s="332">
        <f>Ressources!T122</f>
        <v>-46766.779816332768</v>
      </c>
      <c r="F122" s="305">
        <f t="shared" si="5"/>
        <v>-56665.907484596704</v>
      </c>
      <c r="G122" s="304">
        <f>'Besoins structurels'!I122</f>
        <v>0</v>
      </c>
      <c r="H122" s="304">
        <f>'Besoins structurels'!N122</f>
        <v>0</v>
      </c>
      <c r="I122" s="304">
        <f>'Besoins structurels'!V122</f>
        <v>0</v>
      </c>
      <c r="J122" s="306">
        <f t="shared" si="6"/>
        <v>0</v>
      </c>
      <c r="K122" s="304">
        <f>'Charges des villes'!N122</f>
        <v>154292.85966339801</v>
      </c>
      <c r="L122" s="304">
        <f>'Charges des villes'!U122</f>
        <v>33381.721225001449</v>
      </c>
      <c r="M122" s="299">
        <f t="shared" si="7"/>
        <v>187674.58088839945</v>
      </c>
      <c r="N122" s="305">
        <f>-VLOOKUP(A122,Paramètres!$B$23:$C$316,2,FALSE)*$N$5</f>
        <v>0</v>
      </c>
      <c r="O122" s="319"/>
      <c r="P122" s="598">
        <f t="shared" si="8"/>
        <v>131008.67340380274</v>
      </c>
      <c r="Q122" s="599"/>
      <c r="R122" s="599"/>
      <c r="S122" s="600"/>
      <c r="T122" s="305">
        <f>PCS!D122</f>
        <v>328974.51823944197</v>
      </c>
      <c r="U122" s="300">
        <f>Police!U122</f>
        <v>10225.835679556041</v>
      </c>
      <c r="V122" s="333">
        <f t="shared" si="9"/>
        <v>470209.02732280077</v>
      </c>
      <c r="W122" s="177"/>
      <c r="X122" s="177"/>
      <c r="Y122" s="177"/>
      <c r="Z122" s="15"/>
    </row>
    <row r="123" spans="1:26" x14ac:dyDescent="0.25">
      <c r="A123" s="108">
        <f>Données!A123</f>
        <v>5610</v>
      </c>
      <c r="B123" s="116" t="str">
        <f>Données!B123</f>
        <v>St-Saphorin (Lavaux)</v>
      </c>
      <c r="C123" s="304">
        <f>Ressources!H123</f>
        <v>141864.72612410085</v>
      </c>
      <c r="D123" s="304">
        <f>Ressources!L123</f>
        <v>0</v>
      </c>
      <c r="E123" s="332">
        <f>Ressources!T123</f>
        <v>-15016.990508541756</v>
      </c>
      <c r="F123" s="305">
        <f t="shared" si="5"/>
        <v>126847.7356155591</v>
      </c>
      <c r="G123" s="304">
        <f>'Besoins structurels'!I123</f>
        <v>0</v>
      </c>
      <c r="H123" s="304">
        <f>'Besoins structurels'!N123</f>
        <v>0</v>
      </c>
      <c r="I123" s="304">
        <f>'Besoins structurels'!V123</f>
        <v>0</v>
      </c>
      <c r="J123" s="306">
        <f t="shared" si="6"/>
        <v>0</v>
      </c>
      <c r="K123" s="304">
        <f>'Charges des villes'!N123</f>
        <v>183748.76923550124</v>
      </c>
      <c r="L123" s="304">
        <f>'Charges des villes'!U123</f>
        <v>39754.595277047185</v>
      </c>
      <c r="M123" s="299">
        <f t="shared" si="7"/>
        <v>223503.36451254843</v>
      </c>
      <c r="N123" s="305">
        <f>-VLOOKUP(A123,Paramètres!$B$23:$C$316,2,FALSE)*$N$5</f>
        <v>-3975</v>
      </c>
      <c r="O123" s="319"/>
      <c r="P123" s="598">
        <f t="shared" si="8"/>
        <v>346376.10012810753</v>
      </c>
      <c r="Q123" s="599"/>
      <c r="R123" s="599"/>
      <c r="S123" s="600"/>
      <c r="T123" s="305">
        <f>PCS!D123</f>
        <v>391778.74444878998</v>
      </c>
      <c r="U123" s="300">
        <f>Police!U123</f>
        <v>12178.04067292583</v>
      </c>
      <c r="V123" s="333">
        <f t="shared" si="9"/>
        <v>750332.88524982345</v>
      </c>
      <c r="W123" s="177"/>
      <c r="X123" s="177"/>
      <c r="Y123" s="177"/>
      <c r="Z123" s="15"/>
    </row>
    <row r="124" spans="1:26" x14ac:dyDescent="0.25">
      <c r="A124" s="108">
        <f>Données!A124</f>
        <v>5611</v>
      </c>
      <c r="B124" s="116" t="str">
        <f>Données!B124</f>
        <v>Savigny</v>
      </c>
      <c r="C124" s="304">
        <f>Ressources!H124</f>
        <v>-1699892.9863208206</v>
      </c>
      <c r="D124" s="304">
        <f>Ressources!L124</f>
        <v>0</v>
      </c>
      <c r="E124" s="332">
        <f>Ressources!T124</f>
        <v>-120380.46008837968</v>
      </c>
      <c r="F124" s="305">
        <f t="shared" si="5"/>
        <v>-1820273.4464092003</v>
      </c>
      <c r="G124" s="304">
        <f>'Besoins structurels'!I124</f>
        <v>0</v>
      </c>
      <c r="H124" s="304">
        <f>'Besoins structurels'!N124</f>
        <v>-128892</v>
      </c>
      <c r="I124" s="304">
        <f>'Besoins structurels'!V124</f>
        <v>0</v>
      </c>
      <c r="J124" s="306">
        <f t="shared" si="6"/>
        <v>-128892</v>
      </c>
      <c r="K124" s="304">
        <f>'Charges des villes'!N124</f>
        <v>881400.17944628466</v>
      </c>
      <c r="L124" s="304">
        <f>'Charges des villes'!U124</f>
        <v>363961.9180835007</v>
      </c>
      <c r="M124" s="299">
        <f t="shared" si="7"/>
        <v>1245362.0975297852</v>
      </c>
      <c r="N124" s="305">
        <f>-VLOOKUP(A124,Paramètres!$B$23:$C$316,2,FALSE)*$N$5</f>
        <v>0</v>
      </c>
      <c r="O124" s="319"/>
      <c r="P124" s="598">
        <f t="shared" si="8"/>
        <v>-703803.34887941508</v>
      </c>
      <c r="Q124" s="599"/>
      <c r="R124" s="599"/>
      <c r="S124" s="600"/>
      <c r="T124" s="305">
        <f>PCS!D124</f>
        <v>3586819.1412894311</v>
      </c>
      <c r="U124" s="300">
        <f>Police!U124</f>
        <v>111492.59628800799</v>
      </c>
      <c r="V124" s="333">
        <f t="shared" si="9"/>
        <v>2994508.3886980242</v>
      </c>
      <c r="W124" s="177"/>
      <c r="X124" s="177"/>
      <c r="Y124" s="177"/>
      <c r="Z124" s="15"/>
    </row>
    <row r="125" spans="1:26" x14ac:dyDescent="0.25">
      <c r="A125" s="108">
        <f>Données!A125</f>
        <v>5613</v>
      </c>
      <c r="B125" s="116" t="str">
        <f>Données!B125</f>
        <v>Bourg-en-Lavaux</v>
      </c>
      <c r="C125" s="304">
        <f>Ressources!H125</f>
        <v>6794206.2333715158</v>
      </c>
      <c r="D125" s="304">
        <f>Ressources!L125</f>
        <v>0</v>
      </c>
      <c r="E125" s="332">
        <f>Ressources!T125</f>
        <v>530522.12782067433</v>
      </c>
      <c r="F125" s="305">
        <f t="shared" si="5"/>
        <v>7324728.3611921901</v>
      </c>
      <c r="G125" s="304">
        <f>'Besoins structurels'!I125</f>
        <v>0</v>
      </c>
      <c r="H125" s="304">
        <f>'Besoins structurels'!N125</f>
        <v>-30026</v>
      </c>
      <c r="I125" s="304">
        <f>'Besoins structurels'!V125</f>
        <v>0</v>
      </c>
      <c r="J125" s="306">
        <f t="shared" si="6"/>
        <v>-30026</v>
      </c>
      <c r="K125" s="304">
        <f>'Charges des villes'!N125</f>
        <v>749952.64473598544</v>
      </c>
      <c r="L125" s="304">
        <f>'Charges des villes'!U125</f>
        <v>562229.11081381235</v>
      </c>
      <c r="M125" s="299">
        <f t="shared" si="7"/>
        <v>1312181.7555497978</v>
      </c>
      <c r="N125" s="305">
        <f>-VLOOKUP(A125,Paramètres!$B$23:$C$316,2,FALSE)*$N$5</f>
        <v>0</v>
      </c>
      <c r="O125" s="319"/>
      <c r="P125" s="598">
        <f t="shared" si="8"/>
        <v>8606884.1167419888</v>
      </c>
      <c r="Q125" s="599"/>
      <c r="R125" s="599"/>
      <c r="S125" s="600"/>
      <c r="T125" s="305">
        <f>PCS!D125</f>
        <v>5540728.4011358134</v>
      </c>
      <c r="U125" s="300">
        <f>Police!U125</f>
        <v>172227.86274840144</v>
      </c>
      <c r="V125" s="333">
        <f t="shared" si="9"/>
        <v>14319840.380626203</v>
      </c>
      <c r="W125" s="177"/>
      <c r="X125" s="177"/>
      <c r="Y125" s="177"/>
      <c r="Z125" s="15"/>
    </row>
    <row r="126" spans="1:26" x14ac:dyDescent="0.25">
      <c r="A126" s="108">
        <f>Données!A126</f>
        <v>5621</v>
      </c>
      <c r="B126" s="116" t="str">
        <f>Données!B126</f>
        <v>Aclens</v>
      </c>
      <c r="C126" s="304">
        <f>Ressources!H126</f>
        <v>372012.69949297904</v>
      </c>
      <c r="D126" s="304">
        <f>Ressources!L126</f>
        <v>0</v>
      </c>
      <c r="E126" s="332">
        <f>Ressources!T126</f>
        <v>214860.3449753132</v>
      </c>
      <c r="F126" s="305">
        <f t="shared" si="5"/>
        <v>586873.04446829227</v>
      </c>
      <c r="G126" s="304">
        <f>'Besoins structurels'!I126</f>
        <v>0</v>
      </c>
      <c r="H126" s="304">
        <f>'Besoins structurels'!N126</f>
        <v>0</v>
      </c>
      <c r="I126" s="304">
        <f>'Besoins structurels'!V126</f>
        <v>0</v>
      </c>
      <c r="J126" s="306">
        <f t="shared" si="6"/>
        <v>0</v>
      </c>
      <c r="K126" s="304">
        <f>'Charges des villes'!N126</f>
        <v>284740.45919699816</v>
      </c>
      <c r="L126" s="304">
        <f>'Charges des villes'!U126</f>
        <v>61604.449169775406</v>
      </c>
      <c r="M126" s="299">
        <f t="shared" si="7"/>
        <v>346344.90836677357</v>
      </c>
      <c r="N126" s="305">
        <f>-VLOOKUP(A126,Paramètres!$B$23:$C$316,2,FALSE)*$N$5</f>
        <v>0</v>
      </c>
      <c r="O126" s="319"/>
      <c r="P126" s="598">
        <f t="shared" si="8"/>
        <v>933217.95283506578</v>
      </c>
      <c r="Q126" s="599"/>
      <c r="R126" s="599"/>
      <c r="S126" s="600"/>
      <c r="T126" s="305">
        <f>PCS!D126</f>
        <v>607107.52002369752</v>
      </c>
      <c r="U126" s="300">
        <f>Police!U126</f>
        <v>90774.479501433118</v>
      </c>
      <c r="V126" s="333">
        <f t="shared" si="9"/>
        <v>1631099.9523601965</v>
      </c>
      <c r="W126" s="177"/>
      <c r="X126" s="177"/>
      <c r="Y126" s="177"/>
      <c r="Z126" s="15"/>
    </row>
    <row r="127" spans="1:26" x14ac:dyDescent="0.25">
      <c r="A127" s="108">
        <f>Données!A127</f>
        <v>5622</v>
      </c>
      <c r="B127" s="116" t="str">
        <f>Données!B127</f>
        <v>Bremblens</v>
      </c>
      <c r="C127" s="304">
        <f>Ressources!H127</f>
        <v>296346.55064342835</v>
      </c>
      <c r="D127" s="304">
        <f>Ressources!L127</f>
        <v>0</v>
      </c>
      <c r="E127" s="332">
        <f>Ressources!T127</f>
        <v>-25561.63385010403</v>
      </c>
      <c r="F127" s="305">
        <f t="shared" si="5"/>
        <v>270784.91679332429</v>
      </c>
      <c r="G127" s="304">
        <f>'Besoins structurels'!I127</f>
        <v>0</v>
      </c>
      <c r="H127" s="304">
        <f>'Besoins structurels'!N127</f>
        <v>0</v>
      </c>
      <c r="I127" s="304">
        <f>'Besoins structurels'!V127</f>
        <v>0</v>
      </c>
      <c r="J127" s="306">
        <f t="shared" si="6"/>
        <v>0</v>
      </c>
      <c r="K127" s="304">
        <f>'Charges des villes'!N127</f>
        <v>278662.25563450065</v>
      </c>
      <c r="L127" s="304">
        <f>'Charges des villes'!U127</f>
        <v>60289.411666972323</v>
      </c>
      <c r="M127" s="299">
        <f t="shared" si="7"/>
        <v>338951.66730147297</v>
      </c>
      <c r="N127" s="305">
        <f>-VLOOKUP(A127,Paramètres!$B$23:$C$316,2,FALSE)*$N$5</f>
        <v>0</v>
      </c>
      <c r="O127" s="319"/>
      <c r="P127" s="598">
        <f t="shared" si="8"/>
        <v>609736.58409479726</v>
      </c>
      <c r="Q127" s="599"/>
      <c r="R127" s="599"/>
      <c r="S127" s="600"/>
      <c r="T127" s="305">
        <f>PCS!D127</f>
        <v>594147.91779002245</v>
      </c>
      <c r="U127" s="300">
        <f>Police!U127</f>
        <v>88836.764832272806</v>
      </c>
      <c r="V127" s="333">
        <f t="shared" si="9"/>
        <v>1292721.2667170926</v>
      </c>
      <c r="W127" s="177"/>
      <c r="X127" s="177"/>
      <c r="Y127" s="177"/>
      <c r="Z127" s="15"/>
    </row>
    <row r="128" spans="1:26" x14ac:dyDescent="0.25">
      <c r="A128" s="108">
        <f>Données!A128</f>
        <v>5623</v>
      </c>
      <c r="B128" s="116" t="str">
        <f>Données!B128</f>
        <v>Buchillon</v>
      </c>
      <c r="C128" s="304">
        <f>Ressources!H128</f>
        <v>3261583.1787879877</v>
      </c>
      <c r="D128" s="304">
        <f>Ressources!L128</f>
        <v>0</v>
      </c>
      <c r="E128" s="332">
        <f>Ressources!T128</f>
        <v>129339.26337957894</v>
      </c>
      <c r="F128" s="305">
        <f t="shared" si="5"/>
        <v>3390922.4421675666</v>
      </c>
      <c r="G128" s="304">
        <f>'Besoins structurels'!I128</f>
        <v>0</v>
      </c>
      <c r="H128" s="304">
        <f>'Besoins structurels'!N128</f>
        <v>0</v>
      </c>
      <c r="I128" s="304">
        <f>'Besoins structurels'!V128</f>
        <v>0</v>
      </c>
      <c r="J128" s="306">
        <f t="shared" si="6"/>
        <v>0</v>
      </c>
      <c r="K128" s="304">
        <f>'Charges des villes'!N128</f>
        <v>318871.90997102251</v>
      </c>
      <c r="L128" s="304">
        <f>'Charges des villes'!U128</f>
        <v>68988.890531669662</v>
      </c>
      <c r="M128" s="299">
        <f t="shared" si="7"/>
        <v>387860.80050269217</v>
      </c>
      <c r="N128" s="305">
        <f>-VLOOKUP(A128,Paramètres!$B$23:$C$316,2,FALSE)*$N$5</f>
        <v>0</v>
      </c>
      <c r="O128" s="319"/>
      <c r="P128" s="598">
        <f t="shared" si="8"/>
        <v>3778783.242670259</v>
      </c>
      <c r="Q128" s="599"/>
      <c r="R128" s="599"/>
      <c r="S128" s="600"/>
      <c r="T128" s="305">
        <f>PCS!D128</f>
        <v>679880.67102818005</v>
      </c>
      <c r="U128" s="300">
        <f>Police!U128</f>
        <v>21133.393737749153</v>
      </c>
      <c r="V128" s="333">
        <f t="shared" si="9"/>
        <v>4479797.3074361878</v>
      </c>
      <c r="W128" s="177"/>
      <c r="X128" s="177"/>
      <c r="Y128" s="177"/>
      <c r="Z128" s="15"/>
    </row>
    <row r="129" spans="1:26" x14ac:dyDescent="0.25">
      <c r="A129" s="108">
        <f>Données!A129</f>
        <v>5624</v>
      </c>
      <c r="B129" s="116" t="str">
        <f>Données!B129</f>
        <v>Bussigny</v>
      </c>
      <c r="C129" s="304">
        <f>Ressources!H129</f>
        <v>-10112570.115905713</v>
      </c>
      <c r="D129" s="304">
        <f>Ressources!L129</f>
        <v>0</v>
      </c>
      <c r="E129" s="332">
        <f>Ressources!T129</f>
        <v>-909584.36669893051</v>
      </c>
      <c r="F129" s="305">
        <f t="shared" si="5"/>
        <v>-11022154.482604643</v>
      </c>
      <c r="G129" s="304">
        <f>'Besoins structurels'!I129</f>
        <v>0</v>
      </c>
      <c r="H129" s="304">
        <f>'Besoins structurels'!N129</f>
        <v>0</v>
      </c>
      <c r="I129" s="304">
        <f>'Besoins structurels'!V129</f>
        <v>0</v>
      </c>
      <c r="J129" s="306">
        <f t="shared" si="6"/>
        <v>0</v>
      </c>
      <c r="K129" s="304">
        <f>'Charges des villes'!N129</f>
        <v>253331.40644085407</v>
      </c>
      <c r="L129" s="304">
        <f>'Charges des villes'!U129</f>
        <v>-630828.85100925784</v>
      </c>
      <c r="M129" s="299">
        <f t="shared" si="7"/>
        <v>-377497.44456840376</v>
      </c>
      <c r="N129" s="305">
        <f>-VLOOKUP(A129,Paramètres!$B$23:$C$316,2,FALSE)*$N$5</f>
        <v>0</v>
      </c>
      <c r="O129" s="319"/>
      <c r="P129" s="598">
        <f t="shared" si="8"/>
        <v>-11399651.927173046</v>
      </c>
      <c r="Q129" s="599"/>
      <c r="R129" s="599"/>
      <c r="S129" s="600"/>
      <c r="T129" s="305">
        <f>PCS!D129</f>
        <v>12100280.916334385</v>
      </c>
      <c r="U129" s="300">
        <f>Police!U129</f>
        <v>376124.82872257946</v>
      </c>
      <c r="V129" s="333">
        <f t="shared" si="9"/>
        <v>1076753.8178839181</v>
      </c>
      <c r="W129" s="177"/>
      <c r="X129" s="177"/>
      <c r="Y129" s="177"/>
      <c r="Z129" s="15"/>
    </row>
    <row r="130" spans="1:26" x14ac:dyDescent="0.25">
      <c r="A130" s="108">
        <f>Données!A130</f>
        <v>5627</v>
      </c>
      <c r="B130" s="116" t="str">
        <f>Données!B130</f>
        <v>Chavannes-près-Renens</v>
      </c>
      <c r="C130" s="304">
        <f>Ressources!H130</f>
        <v>-15858049.628108149</v>
      </c>
      <c r="D130" s="304">
        <f>Ressources!L130</f>
        <v>-284134</v>
      </c>
      <c r="E130" s="332">
        <f>Ressources!T130</f>
        <v>-1427026.3349343403</v>
      </c>
      <c r="F130" s="305">
        <f t="shared" si="5"/>
        <v>-17569209.96304249</v>
      </c>
      <c r="G130" s="304">
        <f>'Besoins structurels'!I130</f>
        <v>0</v>
      </c>
      <c r="H130" s="304">
        <f>'Besoins structurels'!N130</f>
        <v>0</v>
      </c>
      <c r="I130" s="304">
        <f>'Besoins structurels'!V130</f>
        <v>0</v>
      </c>
      <c r="J130" s="306">
        <f t="shared" si="6"/>
        <v>0</v>
      </c>
      <c r="K130" s="304">
        <f>'Charges des villes'!N130</f>
        <v>402756.78392209858</v>
      </c>
      <c r="L130" s="304">
        <f>'Charges des villes'!U130</f>
        <v>-786672.89287760411</v>
      </c>
      <c r="M130" s="299">
        <f t="shared" si="7"/>
        <v>-383916.10895550554</v>
      </c>
      <c r="N130" s="305">
        <f>-VLOOKUP(A130,Paramètres!$B$23:$C$316,2,FALSE)*$N$5</f>
        <v>0</v>
      </c>
      <c r="O130" s="319"/>
      <c r="P130" s="598">
        <f t="shared" si="8"/>
        <v>-17953126.071997996</v>
      </c>
      <c r="Q130" s="599"/>
      <c r="R130" s="599"/>
      <c r="S130" s="600"/>
      <c r="T130" s="305">
        <f>PCS!D130</f>
        <v>10701640.767577</v>
      </c>
      <c r="U130" s="300">
        <f>Police!U130</f>
        <v>332649.53339404275</v>
      </c>
      <c r="V130" s="333">
        <f t="shared" si="9"/>
        <v>-6918835.7710269541</v>
      </c>
      <c r="W130" s="177"/>
      <c r="X130" s="177"/>
      <c r="Y130" s="177"/>
      <c r="Z130" s="15"/>
    </row>
    <row r="131" spans="1:26" x14ac:dyDescent="0.25">
      <c r="A131" s="108">
        <f>Données!A131</f>
        <v>5628</v>
      </c>
      <c r="B131" s="116" t="str">
        <f>Données!B131</f>
        <v>Chigny</v>
      </c>
      <c r="C131" s="304">
        <f>Ressources!H131</f>
        <v>442549.21494741633</v>
      </c>
      <c r="D131" s="304">
        <f>Ressources!L131</f>
        <v>0</v>
      </c>
      <c r="E131" s="332">
        <f>Ressources!T131</f>
        <v>-19565.817044534655</v>
      </c>
      <c r="F131" s="305">
        <f t="shared" si="5"/>
        <v>422983.39790288167</v>
      </c>
      <c r="G131" s="304">
        <f>'Besoins structurels'!I131</f>
        <v>0</v>
      </c>
      <c r="H131" s="304">
        <f>'Besoins structurels'!N131</f>
        <v>0</v>
      </c>
      <c r="I131" s="304">
        <f>'Besoins structurels'!V131</f>
        <v>-3248</v>
      </c>
      <c r="J131" s="306">
        <f t="shared" si="6"/>
        <v>-3248</v>
      </c>
      <c r="K131" s="304">
        <f>'Charges des villes'!N131</f>
        <v>191697.18927876724</v>
      </c>
      <c r="L131" s="304">
        <f>'Charges des villes'!U131</f>
        <v>41474.259703789685</v>
      </c>
      <c r="M131" s="299">
        <f t="shared" si="7"/>
        <v>233171.44898255693</v>
      </c>
      <c r="N131" s="305">
        <f>-VLOOKUP(A131,Paramètres!$B$23:$C$316,2,FALSE)*$N$5</f>
        <v>0</v>
      </c>
      <c r="O131" s="319"/>
      <c r="P131" s="598">
        <f t="shared" si="8"/>
        <v>652906.84688543854</v>
      </c>
      <c r="Q131" s="599"/>
      <c r="R131" s="599"/>
      <c r="S131" s="600"/>
      <c r="T131" s="305">
        <f>PCS!D131</f>
        <v>408725.9166005188</v>
      </c>
      <c r="U131" s="300">
        <f>Police!U131</f>
        <v>61112.539565825253</v>
      </c>
      <c r="V131" s="333">
        <f t="shared" si="9"/>
        <v>1122745.3030517828</v>
      </c>
      <c r="W131" s="177"/>
      <c r="X131" s="177"/>
      <c r="Y131" s="177"/>
      <c r="Z131" s="15"/>
    </row>
    <row r="132" spans="1:26" x14ac:dyDescent="0.25">
      <c r="A132" s="108">
        <f>Données!A132</f>
        <v>5629</v>
      </c>
      <c r="B132" s="116" t="str">
        <f>Données!B132</f>
        <v>Clarmont</v>
      </c>
      <c r="C132" s="304">
        <f>Ressources!H132</f>
        <v>-135375.33591743928</v>
      </c>
      <c r="D132" s="304">
        <f>Ressources!L132</f>
        <v>0</v>
      </c>
      <c r="E132" s="332">
        <f>Ressources!T132</f>
        <v>-45781.740961785457</v>
      </c>
      <c r="F132" s="305">
        <f t="shared" si="5"/>
        <v>-181157.07687922474</v>
      </c>
      <c r="G132" s="304">
        <f>'Besoins structurels'!I132</f>
        <v>0</v>
      </c>
      <c r="H132" s="304">
        <f>'Besoins structurels'!N132</f>
        <v>0</v>
      </c>
      <c r="I132" s="304">
        <f>'Besoins structurels'!V132</f>
        <v>0</v>
      </c>
      <c r="J132" s="306">
        <f t="shared" si="6"/>
        <v>0</v>
      </c>
      <c r="K132" s="304">
        <f>'Charges des villes'!N132</f>
        <v>108472.55588457071</v>
      </c>
      <c r="L132" s="304">
        <f>'Charges des villes'!U132</f>
        <v>23468.36158848587</v>
      </c>
      <c r="M132" s="299">
        <f t="shared" si="7"/>
        <v>131940.91747305659</v>
      </c>
      <c r="N132" s="305">
        <f>-VLOOKUP(A132,Paramètres!$B$23:$C$316,2,FALSE)*$N$5</f>
        <v>-19050</v>
      </c>
      <c r="O132" s="319"/>
      <c r="P132" s="598">
        <f t="shared" si="8"/>
        <v>-68266.159406168154</v>
      </c>
      <c r="Q132" s="599"/>
      <c r="R132" s="599"/>
      <c r="S132" s="600"/>
      <c r="T132" s="305">
        <f>PCS!D132</f>
        <v>231279.05524712286</v>
      </c>
      <c r="U132" s="300">
        <f>Police!U132</f>
        <v>34580.754095784047</v>
      </c>
      <c r="V132" s="333">
        <f t="shared" si="9"/>
        <v>197593.64993673874</v>
      </c>
      <c r="W132" s="177"/>
      <c r="X132" s="177"/>
      <c r="Y132" s="177"/>
      <c r="Z132" s="15"/>
    </row>
    <row r="133" spans="1:26" x14ac:dyDescent="0.25">
      <c r="A133" s="108">
        <f>Données!A133</f>
        <v>5631</v>
      </c>
      <c r="B133" s="116" t="str">
        <f>Données!B133</f>
        <v>Denens</v>
      </c>
      <c r="C133" s="304">
        <f>Ressources!H133</f>
        <v>549046.31319854874</v>
      </c>
      <c r="D133" s="304">
        <f>Ressources!L133</f>
        <v>0</v>
      </c>
      <c r="E133" s="332">
        <f>Ressources!T133</f>
        <v>4222.2974163123872</v>
      </c>
      <c r="F133" s="305">
        <f t="shared" si="5"/>
        <v>553268.61061486113</v>
      </c>
      <c r="G133" s="304">
        <f>'Besoins structurels'!I133</f>
        <v>0</v>
      </c>
      <c r="H133" s="304">
        <f>'Besoins structurels'!N133</f>
        <v>0</v>
      </c>
      <c r="I133" s="304">
        <f>'Besoins structurels'!V133</f>
        <v>0</v>
      </c>
      <c r="J133" s="306">
        <f t="shared" si="6"/>
        <v>0</v>
      </c>
      <c r="K133" s="304">
        <f>'Charges des villes'!N133</f>
        <v>349730.48190370214</v>
      </c>
      <c r="L133" s="304">
        <f>'Charges des villes'!U133</f>
        <v>75665.234776669953</v>
      </c>
      <c r="M133" s="299">
        <f t="shared" si="7"/>
        <v>425395.71668037208</v>
      </c>
      <c r="N133" s="305">
        <f>-VLOOKUP(A133,Paramètres!$B$23:$C$316,2,FALSE)*$N$5</f>
        <v>0</v>
      </c>
      <c r="O133" s="319"/>
      <c r="P133" s="598">
        <f t="shared" si="8"/>
        <v>978664.32729523326</v>
      </c>
      <c r="Q133" s="599"/>
      <c r="R133" s="599"/>
      <c r="S133" s="600"/>
      <c r="T133" s="305">
        <f>PCS!D133</f>
        <v>745675.5746760685</v>
      </c>
      <c r="U133" s="300">
        <f>Police!U133</f>
        <v>111493.12096399339</v>
      </c>
      <c r="V133" s="333">
        <f t="shared" si="9"/>
        <v>1835833.0229352952</v>
      </c>
      <c r="W133" s="177"/>
      <c r="X133" s="177"/>
      <c r="Y133" s="177"/>
      <c r="Z133" s="15"/>
    </row>
    <row r="134" spans="1:26" x14ac:dyDescent="0.25">
      <c r="A134" s="108">
        <f>Données!A134</f>
        <v>5632</v>
      </c>
      <c r="B134" s="116" t="str">
        <f>Données!B134</f>
        <v>Denges</v>
      </c>
      <c r="C134" s="304">
        <f>Ressources!H134</f>
        <v>-519058.17066850251</v>
      </c>
      <c r="D134" s="304">
        <f>Ressources!L134</f>
        <v>0</v>
      </c>
      <c r="E134" s="332">
        <f>Ressources!T134</f>
        <v>487465.90338994667</v>
      </c>
      <c r="F134" s="305">
        <f t="shared" si="5"/>
        <v>-31592.267278555839</v>
      </c>
      <c r="G134" s="304">
        <f>'Besoins structurels'!I134</f>
        <v>0</v>
      </c>
      <c r="H134" s="304">
        <f>'Besoins structurels'!N134</f>
        <v>0</v>
      </c>
      <c r="I134" s="304">
        <f>'Besoins structurels'!V134</f>
        <v>0</v>
      </c>
      <c r="J134" s="306">
        <f t="shared" si="6"/>
        <v>0</v>
      </c>
      <c r="K134" s="304">
        <f>'Charges des villes'!N134</f>
        <v>659121.42968173814</v>
      </c>
      <c r="L134" s="304">
        <f>'Charges des villes'!U134</f>
        <v>-122229.67903966934</v>
      </c>
      <c r="M134" s="299">
        <f t="shared" si="7"/>
        <v>536891.7506420688</v>
      </c>
      <c r="N134" s="305">
        <f>-VLOOKUP(A134,Paramètres!$B$23:$C$316,2,FALSE)*$N$5</f>
        <v>0</v>
      </c>
      <c r="O134" s="319"/>
      <c r="P134" s="598">
        <f t="shared" si="8"/>
        <v>505299.48336351296</v>
      </c>
      <c r="Q134" s="599"/>
      <c r="R134" s="599"/>
      <c r="S134" s="600"/>
      <c r="T134" s="305">
        <f>PCS!D134</f>
        <v>1838269.7322228213</v>
      </c>
      <c r="U134" s="300">
        <f>Police!U134</f>
        <v>296031.60043650505</v>
      </c>
      <c r="V134" s="333">
        <f t="shared" si="9"/>
        <v>2639600.8160228394</v>
      </c>
      <c r="W134" s="177"/>
      <c r="X134" s="177"/>
      <c r="Y134" s="177"/>
      <c r="Z134" s="15"/>
    </row>
    <row r="135" spans="1:26" x14ac:dyDescent="0.25">
      <c r="A135" s="108">
        <f>Données!A135</f>
        <v>5633</v>
      </c>
      <c r="B135" s="116" t="str">
        <f>Données!B135</f>
        <v>Echandens</v>
      </c>
      <c r="C135" s="304">
        <f>Ressources!H135</f>
        <v>-490198.9434984579</v>
      </c>
      <c r="D135" s="304">
        <f>Ressources!L135</f>
        <v>0</v>
      </c>
      <c r="E135" s="332">
        <f>Ressources!T135</f>
        <v>-150159.25153846334</v>
      </c>
      <c r="F135" s="305">
        <f t="shared" ref="F135:F197" si="10">SUM(C135:E135)</f>
        <v>-640358.19503692118</v>
      </c>
      <c r="G135" s="304">
        <f>'Besoins structurels'!I135</f>
        <v>0</v>
      </c>
      <c r="H135" s="304">
        <f>'Besoins structurels'!N135</f>
        <v>0</v>
      </c>
      <c r="I135" s="304">
        <f>'Besoins structurels'!V135</f>
        <v>0</v>
      </c>
      <c r="J135" s="306">
        <f t="shared" ref="J135:J197" si="11">SUM(G135:I135)</f>
        <v>0</v>
      </c>
      <c r="K135" s="304">
        <f>'Charges des villes'!N135</f>
        <v>913725.54257402162</v>
      </c>
      <c r="L135" s="304">
        <f>'Charges des villes'!U135</f>
        <v>-289733.59758426383</v>
      </c>
      <c r="M135" s="299">
        <f t="shared" ref="M135:M197" si="12">SUM(K135:L135)</f>
        <v>623991.94498975785</v>
      </c>
      <c r="N135" s="305">
        <f>-VLOOKUP(A135,Paramètres!$B$23:$C$316,2,FALSE)*$N$5</f>
        <v>0</v>
      </c>
      <c r="O135" s="319"/>
      <c r="P135" s="598">
        <f t="shared" ref="P135:P197" si="13">F135+J135+M135+N135</f>
        <v>-16366.250047163339</v>
      </c>
      <c r="Q135" s="599"/>
      <c r="R135" s="599"/>
      <c r="S135" s="600"/>
      <c r="T135" s="305">
        <f>PCS!D135</f>
        <v>3106316.9661639431</v>
      </c>
      <c r="U135" s="300">
        <f>Police!U135</f>
        <v>518996.49772772088</v>
      </c>
      <c r="V135" s="333">
        <f t="shared" ref="V135:V197" si="14">P135+T135+U135</f>
        <v>3608947.2138445005</v>
      </c>
      <c r="W135" s="177"/>
      <c r="X135" s="177"/>
      <c r="Y135" s="177"/>
      <c r="Z135" s="15"/>
    </row>
    <row r="136" spans="1:26" x14ac:dyDescent="0.25">
      <c r="A136" s="108">
        <f>Données!A136</f>
        <v>5634</v>
      </c>
      <c r="B136" s="116" t="str">
        <f>Données!B136</f>
        <v>Echichens</v>
      </c>
      <c r="C136" s="304">
        <f>Ressources!H136</f>
        <v>358300.18210390885</v>
      </c>
      <c r="D136" s="304">
        <f>Ressources!L136</f>
        <v>0</v>
      </c>
      <c r="E136" s="332">
        <f>Ressources!T136</f>
        <v>218643.51716747112</v>
      </c>
      <c r="F136" s="305">
        <f t="shared" si="10"/>
        <v>576943.69927137997</v>
      </c>
      <c r="G136" s="304">
        <f>'Besoins structurels'!I136</f>
        <v>0</v>
      </c>
      <c r="H136" s="304">
        <f>'Besoins structurels'!N136</f>
        <v>0</v>
      </c>
      <c r="I136" s="304">
        <f>'Besoins structurels'!V136</f>
        <v>-19835</v>
      </c>
      <c r="J136" s="306">
        <f t="shared" si="11"/>
        <v>-19835</v>
      </c>
      <c r="K136" s="304">
        <f>'Charges des villes'!N136</f>
        <v>905342.40898280346</v>
      </c>
      <c r="L136" s="304">
        <f>'Charges des villes'!U136</f>
        <v>114291.06886023688</v>
      </c>
      <c r="M136" s="299">
        <f t="shared" si="12"/>
        <v>1019633.4778430404</v>
      </c>
      <c r="N136" s="305">
        <f>-VLOOKUP(A136,Paramètres!$B$23:$C$316,2,FALSE)*$N$5</f>
        <v>0</v>
      </c>
      <c r="O136" s="319"/>
      <c r="P136" s="598">
        <f t="shared" si="13"/>
        <v>1576742.1771144203</v>
      </c>
      <c r="Q136" s="599"/>
      <c r="R136" s="599"/>
      <c r="S136" s="600"/>
      <c r="T136" s="305">
        <f>PCS!D136</f>
        <v>3230928.5261031259</v>
      </c>
      <c r="U136" s="300">
        <f>Police!U136</f>
        <v>542332.35963058413</v>
      </c>
      <c r="V136" s="333">
        <f t="shared" si="14"/>
        <v>5350003.0628481302</v>
      </c>
      <c r="W136" s="177"/>
      <c r="X136" s="177"/>
      <c r="Y136" s="177"/>
      <c r="Z136" s="15"/>
    </row>
    <row r="137" spans="1:26" x14ac:dyDescent="0.25">
      <c r="A137" s="108">
        <f>Données!A137</f>
        <v>5635</v>
      </c>
      <c r="B137" s="116" t="str">
        <f>Données!B137</f>
        <v>Ecublens</v>
      </c>
      <c r="C137" s="304">
        <f>Ressources!H137</f>
        <v>-6971039.1535489783</v>
      </c>
      <c r="D137" s="304">
        <f>Ressources!L137</f>
        <v>0</v>
      </c>
      <c r="E137" s="332">
        <f>Ressources!T137</f>
        <v>-613336.3880700185</v>
      </c>
      <c r="F137" s="305">
        <f t="shared" si="10"/>
        <v>-7584375.5416189972</v>
      </c>
      <c r="G137" s="304">
        <f>'Besoins structurels'!I137</f>
        <v>0</v>
      </c>
      <c r="H137" s="304">
        <f>'Besoins structurels'!N137</f>
        <v>0</v>
      </c>
      <c r="I137" s="304">
        <f>'Besoins structurels'!V137</f>
        <v>0</v>
      </c>
      <c r="J137" s="306">
        <f t="shared" si="11"/>
        <v>0</v>
      </c>
      <c r="K137" s="304">
        <f>'Charges des villes'!N137</f>
        <v>-504876.31944139022</v>
      </c>
      <c r="L137" s="304">
        <f>'Charges des villes'!U137</f>
        <v>-1558920.2503165861</v>
      </c>
      <c r="M137" s="299">
        <f t="shared" si="12"/>
        <v>-2063796.5697579763</v>
      </c>
      <c r="N137" s="305">
        <f>-VLOOKUP(A137,Paramètres!$B$23:$C$316,2,FALSE)*$N$5</f>
        <v>0</v>
      </c>
      <c r="O137" s="319"/>
      <c r="P137" s="598">
        <f t="shared" si="13"/>
        <v>-9648172.1113769729</v>
      </c>
      <c r="Q137" s="599"/>
      <c r="R137" s="599"/>
      <c r="S137" s="600"/>
      <c r="T137" s="305">
        <f>PCS!D137</f>
        <v>13715246.733146191</v>
      </c>
      <c r="U137" s="300">
        <f>Police!U137</f>
        <v>426324.38569494552</v>
      </c>
      <c r="V137" s="333">
        <f t="shared" si="14"/>
        <v>4493399.007464163</v>
      </c>
      <c r="W137" s="177"/>
      <c r="X137" s="177"/>
      <c r="Y137" s="177"/>
      <c r="Z137" s="15"/>
    </row>
    <row r="138" spans="1:26" x14ac:dyDescent="0.25">
      <c r="A138" s="108">
        <f>Données!A138</f>
        <v>5636</v>
      </c>
      <c r="B138" s="116" t="str">
        <f>Données!B138</f>
        <v>Etoy</v>
      </c>
      <c r="C138" s="304">
        <f>Ressources!H138</f>
        <v>5595796.565522911</v>
      </c>
      <c r="D138" s="304">
        <f>Ressources!L138</f>
        <v>0</v>
      </c>
      <c r="E138" s="332">
        <f>Ressources!T138</f>
        <v>633081.4127678466</v>
      </c>
      <c r="F138" s="305">
        <f t="shared" si="10"/>
        <v>6228877.9782907572</v>
      </c>
      <c r="G138" s="304">
        <f>'Besoins structurels'!I138</f>
        <v>0</v>
      </c>
      <c r="H138" s="304">
        <f>'Besoins structurels'!N138</f>
        <v>0</v>
      </c>
      <c r="I138" s="304">
        <f>'Besoins structurels'!V138</f>
        <v>0</v>
      </c>
      <c r="J138" s="306">
        <f t="shared" si="11"/>
        <v>0</v>
      </c>
      <c r="K138" s="304">
        <f>'Charges des villes'!N138</f>
        <v>920633.24465318525</v>
      </c>
      <c r="L138" s="304">
        <f>'Charges des villes'!U138</f>
        <v>304785.23045736173</v>
      </c>
      <c r="M138" s="299">
        <f t="shared" si="12"/>
        <v>1225418.4751105469</v>
      </c>
      <c r="N138" s="305">
        <f>-VLOOKUP(A138,Paramètres!$B$23:$C$316,2,FALSE)*$N$5</f>
        <v>0</v>
      </c>
      <c r="O138" s="319"/>
      <c r="P138" s="598">
        <f t="shared" si="13"/>
        <v>7454296.4534013039</v>
      </c>
      <c r="Q138" s="599"/>
      <c r="R138" s="599"/>
      <c r="S138" s="600"/>
      <c r="T138" s="305">
        <f>PCS!D138</f>
        <v>3003637.0407740567</v>
      </c>
      <c r="U138" s="300">
        <f>Police!U138</f>
        <v>499767.74751976161</v>
      </c>
      <c r="V138" s="333">
        <f t="shared" si="14"/>
        <v>10957701.241695121</v>
      </c>
      <c r="W138" s="177"/>
      <c r="X138" s="177"/>
      <c r="Y138" s="177"/>
      <c r="Z138" s="15"/>
    </row>
    <row r="139" spans="1:26" x14ac:dyDescent="0.25">
      <c r="A139" s="108">
        <f>Données!A139</f>
        <v>5637</v>
      </c>
      <c r="B139" s="116" t="str">
        <f>Données!B139</f>
        <v>Lavigny</v>
      </c>
      <c r="C139" s="304">
        <f>Ressources!H139</f>
        <v>-817038.32509837963</v>
      </c>
      <c r="D139" s="304">
        <f>Ressources!L139</f>
        <v>0</v>
      </c>
      <c r="E139" s="332">
        <f>Ressources!T139</f>
        <v>-35035.850110596075</v>
      </c>
      <c r="F139" s="305">
        <f t="shared" si="10"/>
        <v>-852074.17520897568</v>
      </c>
      <c r="G139" s="304">
        <f>'Besoins structurels'!I139</f>
        <v>0</v>
      </c>
      <c r="H139" s="304">
        <f>'Besoins structurels'!N139</f>
        <v>0</v>
      </c>
      <c r="I139" s="304">
        <f>'Besoins structurels'!V139</f>
        <v>0</v>
      </c>
      <c r="J139" s="306">
        <f t="shared" si="11"/>
        <v>0</v>
      </c>
      <c r="K139" s="304">
        <f>'Charges des villes'!N139</f>
        <v>492067.47259126126</v>
      </c>
      <c r="L139" s="304">
        <f>'Charges des villes'!U139</f>
        <v>112081.65793121699</v>
      </c>
      <c r="M139" s="299">
        <f t="shared" si="12"/>
        <v>604149.13052247826</v>
      </c>
      <c r="N139" s="305">
        <f>-VLOOKUP(A139,Paramètres!$B$23:$C$316,2,FALSE)*$N$5</f>
        <v>-300</v>
      </c>
      <c r="O139" s="319"/>
      <c r="P139" s="598">
        <f t="shared" si="13"/>
        <v>-248225.04468649742</v>
      </c>
      <c r="Q139" s="599"/>
      <c r="R139" s="599"/>
      <c r="S139" s="600"/>
      <c r="T139" s="305">
        <f>PCS!D139</f>
        <v>1104556.8673009144</v>
      </c>
      <c r="U139" s="300">
        <f>Police!U139</f>
        <v>167862.4100906711</v>
      </c>
      <c r="V139" s="333">
        <f t="shared" si="14"/>
        <v>1024194.2327050881</v>
      </c>
      <c r="W139" s="177"/>
      <c r="X139" s="177"/>
      <c r="Y139" s="177"/>
      <c r="Z139" s="15"/>
    </row>
    <row r="140" spans="1:26" x14ac:dyDescent="0.25">
      <c r="A140" s="108">
        <f>Données!A140</f>
        <v>5638</v>
      </c>
      <c r="B140" s="116" t="str">
        <f>Données!B140</f>
        <v>Lonay</v>
      </c>
      <c r="C140" s="304">
        <f>Ressources!H140</f>
        <v>1293991.1059199169</v>
      </c>
      <c r="D140" s="304">
        <f>Ressources!L140</f>
        <v>0</v>
      </c>
      <c r="E140" s="332">
        <f>Ressources!T140</f>
        <v>1047082.8843314886</v>
      </c>
      <c r="F140" s="305">
        <f t="shared" si="10"/>
        <v>2341073.9902514056</v>
      </c>
      <c r="G140" s="304">
        <f>'Besoins structurels'!I140</f>
        <v>0</v>
      </c>
      <c r="H140" s="304">
        <f>'Besoins structurels'!N140</f>
        <v>0</v>
      </c>
      <c r="I140" s="304">
        <f>'Besoins structurels'!V140</f>
        <v>0</v>
      </c>
      <c r="J140" s="306">
        <f t="shared" si="11"/>
        <v>0</v>
      </c>
      <c r="K140" s="304">
        <f>'Charges des villes'!N140</f>
        <v>857724.97921185661</v>
      </c>
      <c r="L140" s="304">
        <f>'Charges des villes'!U140</f>
        <v>-328095.74527830671</v>
      </c>
      <c r="M140" s="299">
        <f t="shared" si="12"/>
        <v>529629.23393354984</v>
      </c>
      <c r="N140" s="305">
        <f>-VLOOKUP(A140,Paramètres!$B$23:$C$316,2,FALSE)*$N$5</f>
        <v>0</v>
      </c>
      <c r="O140" s="319"/>
      <c r="P140" s="598">
        <f t="shared" si="13"/>
        <v>2870703.2241849555</v>
      </c>
      <c r="Q140" s="599"/>
      <c r="R140" s="599"/>
      <c r="S140" s="600"/>
      <c r="T140" s="305">
        <f>PCS!D140</f>
        <v>2710550.651797099</v>
      </c>
      <c r="U140" s="300">
        <f>Police!U140</f>
        <v>448406.65689384838</v>
      </c>
      <c r="V140" s="333">
        <f t="shared" si="14"/>
        <v>6029660.532875903</v>
      </c>
      <c r="W140" s="177"/>
      <c r="X140" s="177"/>
      <c r="Y140" s="177"/>
      <c r="Z140" s="15"/>
    </row>
    <row r="141" spans="1:26" x14ac:dyDescent="0.25">
      <c r="A141" s="108">
        <f>Données!A141</f>
        <v>5639</v>
      </c>
      <c r="B141" s="116" t="str">
        <f>Données!B141</f>
        <v>Lully</v>
      </c>
      <c r="C141" s="304">
        <f>Ressources!H141</f>
        <v>899638.00560346141</v>
      </c>
      <c r="D141" s="304">
        <f>Ressources!L141</f>
        <v>0</v>
      </c>
      <c r="E141" s="332">
        <f>Ressources!T141</f>
        <v>243.81554952063016</v>
      </c>
      <c r="F141" s="305">
        <f t="shared" si="10"/>
        <v>899881.82115298207</v>
      </c>
      <c r="G141" s="304">
        <f>'Besoins structurels'!I141</f>
        <v>0</v>
      </c>
      <c r="H141" s="304">
        <f>'Besoins structurels'!N141</f>
        <v>0</v>
      </c>
      <c r="I141" s="304">
        <f>'Besoins structurels'!V141</f>
        <v>-8016</v>
      </c>
      <c r="J141" s="306">
        <f t="shared" si="11"/>
        <v>-8016</v>
      </c>
      <c r="K141" s="304">
        <f>'Charges des villes'!N141</f>
        <v>385264.59503830288</v>
      </c>
      <c r="L141" s="304">
        <f>'Charges des villes'!U141</f>
        <v>-13319.899180045279</v>
      </c>
      <c r="M141" s="299">
        <f t="shared" si="12"/>
        <v>371944.69585825759</v>
      </c>
      <c r="N141" s="305">
        <f>-VLOOKUP(A141,Paramètres!$B$23:$C$316,2,FALSE)*$N$5</f>
        <v>0</v>
      </c>
      <c r="O141" s="319"/>
      <c r="P141" s="598">
        <f t="shared" si="13"/>
        <v>1263810.5170112397</v>
      </c>
      <c r="Q141" s="599"/>
      <c r="R141" s="599"/>
      <c r="S141" s="600"/>
      <c r="T141" s="305">
        <f>PCS!D141</f>
        <v>821439.40311909153</v>
      </c>
      <c r="U141" s="300">
        <f>Police!U141</f>
        <v>122821.29902985368</v>
      </c>
      <c r="V141" s="333">
        <f t="shared" si="14"/>
        <v>2208071.2191601847</v>
      </c>
      <c r="W141" s="177"/>
      <c r="X141" s="177"/>
      <c r="Y141" s="177"/>
      <c r="Z141" s="15"/>
    </row>
    <row r="142" spans="1:26" x14ac:dyDescent="0.25">
      <c r="A142" s="108">
        <f>Données!A142</f>
        <v>5640</v>
      </c>
      <c r="B142" s="116" t="str">
        <f>Données!B142</f>
        <v>Lussy-sur-Morges</v>
      </c>
      <c r="C142" s="304">
        <f>Ressources!H142</f>
        <v>1536940.1994772637</v>
      </c>
      <c r="D142" s="304">
        <f>Ressources!L142</f>
        <v>0</v>
      </c>
      <c r="E142" s="332">
        <f>Ressources!T142</f>
        <v>-87913.715144169459</v>
      </c>
      <c r="F142" s="305">
        <f t="shared" si="10"/>
        <v>1449026.4843330942</v>
      </c>
      <c r="G142" s="304">
        <f>'Besoins structurels'!I142</f>
        <v>0</v>
      </c>
      <c r="H142" s="304">
        <f>'Besoins structurels'!N142</f>
        <v>0</v>
      </c>
      <c r="I142" s="304">
        <f>'Besoins structurels'!V142</f>
        <v>-75713</v>
      </c>
      <c r="J142" s="306">
        <f t="shared" si="11"/>
        <v>-75713</v>
      </c>
      <c r="K142" s="304">
        <f>'Charges des villes'!N142</f>
        <v>337106.52065851504</v>
      </c>
      <c r="L142" s="304">
        <f>'Charges des villes'!U142</f>
        <v>-35085.564461152855</v>
      </c>
      <c r="M142" s="299">
        <f t="shared" si="12"/>
        <v>302020.95619736216</v>
      </c>
      <c r="N142" s="305">
        <f>-VLOOKUP(A142,Paramètres!$B$23:$C$316,2,FALSE)*$N$5</f>
        <v>0</v>
      </c>
      <c r="O142" s="319"/>
      <c r="P142" s="598">
        <f t="shared" si="13"/>
        <v>1675334.4405304564</v>
      </c>
      <c r="Q142" s="599"/>
      <c r="R142" s="599"/>
      <c r="S142" s="600"/>
      <c r="T142" s="305">
        <f>PCS!D142</f>
        <v>718759.47772920504</v>
      </c>
      <c r="U142" s="300">
        <f>Police!U142</f>
        <v>22341.901590787595</v>
      </c>
      <c r="V142" s="333">
        <f t="shared" si="14"/>
        <v>2416435.8198504495</v>
      </c>
      <c r="W142" s="177"/>
      <c r="X142" s="177"/>
      <c r="Y142" s="177"/>
      <c r="Z142" s="15"/>
    </row>
    <row r="143" spans="1:26" x14ac:dyDescent="0.25">
      <c r="A143" s="108">
        <f>Données!A143</f>
        <v>5642</v>
      </c>
      <c r="B143" s="116" t="str">
        <f>Données!B143</f>
        <v>Morges</v>
      </c>
      <c r="C143" s="304">
        <f>Ressources!H143</f>
        <v>437604.36866308458</v>
      </c>
      <c r="D143" s="304">
        <f>Ressources!L143</f>
        <v>0</v>
      </c>
      <c r="E143" s="332">
        <f>Ressources!T143</f>
        <v>673032.73555049859</v>
      </c>
      <c r="F143" s="305">
        <f t="shared" si="10"/>
        <v>1110637.1042135833</v>
      </c>
      <c r="G143" s="304">
        <f>'Besoins structurels'!I143</f>
        <v>0</v>
      </c>
      <c r="H143" s="304">
        <f>'Besoins structurels'!N143</f>
        <v>0</v>
      </c>
      <c r="I143" s="304">
        <f>'Besoins structurels'!V143</f>
        <v>0</v>
      </c>
      <c r="J143" s="306">
        <f t="shared" si="11"/>
        <v>0</v>
      </c>
      <c r="K143" s="304">
        <f>'Charges des villes'!N143</f>
        <v>-2553124.1592928302</v>
      </c>
      <c r="L143" s="304">
        <f>'Charges des villes'!U143</f>
        <v>-953612.8079011743</v>
      </c>
      <c r="M143" s="299">
        <f t="shared" si="12"/>
        <v>-3506736.9671940044</v>
      </c>
      <c r="N143" s="305">
        <f>-VLOOKUP(A143,Paramètres!$B$23:$C$316,2,FALSE)*$N$5</f>
        <v>0</v>
      </c>
      <c r="O143" s="319"/>
      <c r="P143" s="598">
        <f t="shared" si="13"/>
        <v>-2396099.8629804212</v>
      </c>
      <c r="Q143" s="599"/>
      <c r="R143" s="599"/>
      <c r="S143" s="600"/>
      <c r="T143" s="305">
        <f>PCS!D143</f>
        <v>17757645.737573273</v>
      </c>
      <c r="U143" s="300">
        <f>Police!U143</f>
        <v>551978.21503009624</v>
      </c>
      <c r="V143" s="333">
        <f t="shared" si="14"/>
        <v>15913524.089622948</v>
      </c>
      <c r="W143" s="177"/>
      <c r="X143" s="177"/>
      <c r="Y143" s="177"/>
      <c r="Z143" s="15"/>
    </row>
    <row r="144" spans="1:26" x14ac:dyDescent="0.25">
      <c r="A144" s="108">
        <f>Données!A144</f>
        <v>5643</v>
      </c>
      <c r="B144" s="116" t="str">
        <f>Données!B144</f>
        <v>Préverenges</v>
      </c>
      <c r="C144" s="304">
        <f>Ressources!H144</f>
        <v>1478355.9404247524</v>
      </c>
      <c r="D144" s="304">
        <f>Ressources!L144</f>
        <v>0</v>
      </c>
      <c r="E144" s="332">
        <f>Ressources!T144</f>
        <v>-278651.73308581323</v>
      </c>
      <c r="F144" s="305">
        <f t="shared" si="10"/>
        <v>1199704.2073389392</v>
      </c>
      <c r="G144" s="304">
        <f>'Besoins structurels'!I144</f>
        <v>0</v>
      </c>
      <c r="H144" s="304">
        <f>'Besoins structurels'!N144</f>
        <v>0</v>
      </c>
      <c r="I144" s="304">
        <f>'Besoins structurels'!V144</f>
        <v>0</v>
      </c>
      <c r="J144" s="306">
        <f t="shared" si="11"/>
        <v>0</v>
      </c>
      <c r="K144" s="304">
        <f>'Charges des villes'!N144</f>
        <v>771547.59686696297</v>
      </c>
      <c r="L144" s="304">
        <f>'Charges des villes'!U144</f>
        <v>-100486.39401212567</v>
      </c>
      <c r="M144" s="299">
        <f t="shared" si="12"/>
        <v>671061.20285483729</v>
      </c>
      <c r="N144" s="305">
        <f>-VLOOKUP(A144,Paramètres!$B$23:$C$316,2,FALSE)*$N$5</f>
        <v>0</v>
      </c>
      <c r="O144" s="319"/>
      <c r="P144" s="598">
        <f t="shared" si="13"/>
        <v>1870765.4101937765</v>
      </c>
      <c r="Q144" s="599"/>
      <c r="R144" s="599"/>
      <c r="S144" s="600"/>
      <c r="T144" s="305">
        <f>PCS!D144</f>
        <v>5219729.0227324795</v>
      </c>
      <c r="U144" s="300">
        <f>Police!U144</f>
        <v>162249.92611562251</v>
      </c>
      <c r="V144" s="333">
        <f t="shared" si="14"/>
        <v>7252744.359041879</v>
      </c>
      <c r="W144" s="177"/>
      <c r="X144" s="177"/>
      <c r="Y144" s="177"/>
      <c r="Z144" s="15"/>
    </row>
    <row r="145" spans="1:26" x14ac:dyDescent="0.25">
      <c r="A145" s="108">
        <f>Données!A145</f>
        <v>5645</v>
      </c>
      <c r="B145" s="116" t="str">
        <f>Données!B145</f>
        <v>Romanel-sur-Morges</v>
      </c>
      <c r="C145" s="304">
        <f>Ressources!H145</f>
        <v>128833.86362269736</v>
      </c>
      <c r="D145" s="304">
        <f>Ressources!L145</f>
        <v>0</v>
      </c>
      <c r="E145" s="332">
        <f>Ressources!T145</f>
        <v>31005.683257134122</v>
      </c>
      <c r="F145" s="305">
        <f t="shared" si="10"/>
        <v>159839.54687983147</v>
      </c>
      <c r="G145" s="304">
        <f>'Besoins structurels'!I145</f>
        <v>0</v>
      </c>
      <c r="H145" s="304">
        <f>'Besoins structurels'!N145</f>
        <v>0</v>
      </c>
      <c r="I145" s="304">
        <f>'Besoins structurels'!V145</f>
        <v>0</v>
      </c>
      <c r="J145" s="306">
        <f t="shared" si="11"/>
        <v>0</v>
      </c>
      <c r="K145" s="304">
        <f>'Charges des villes'!N145</f>
        <v>216010.00352875722</v>
      </c>
      <c r="L145" s="304">
        <f>'Charges des villes'!U145</f>
        <v>46734.409715002032</v>
      </c>
      <c r="M145" s="299">
        <f t="shared" si="12"/>
        <v>262744.41324375925</v>
      </c>
      <c r="N145" s="305">
        <f>-VLOOKUP(A145,Paramètres!$B$23:$C$316,2,FALSE)*$N$5</f>
        <v>0</v>
      </c>
      <c r="O145" s="319"/>
      <c r="P145" s="598">
        <f t="shared" si="13"/>
        <v>422583.96012359072</v>
      </c>
      <c r="Q145" s="599"/>
      <c r="R145" s="599"/>
      <c r="S145" s="600"/>
      <c r="T145" s="305">
        <f>PCS!D145</f>
        <v>460564.32553521876</v>
      </c>
      <c r="U145" s="300">
        <f>Police!U145</f>
        <v>68863.398242466516</v>
      </c>
      <c r="V145" s="333">
        <f t="shared" si="14"/>
        <v>952011.68390127597</v>
      </c>
      <c r="W145" s="177"/>
      <c r="X145" s="177"/>
      <c r="Y145" s="177"/>
      <c r="Z145" s="15"/>
    </row>
    <row r="146" spans="1:26" x14ac:dyDescent="0.25">
      <c r="A146" s="108">
        <f>Données!A146</f>
        <v>5646</v>
      </c>
      <c r="B146" s="116" t="str">
        <f>Données!B146</f>
        <v>Saint-Prex</v>
      </c>
      <c r="C146" s="304">
        <f>Ressources!H146</f>
        <v>15367848.028805815</v>
      </c>
      <c r="D146" s="304">
        <f>Ressources!L146</f>
        <v>0</v>
      </c>
      <c r="E146" s="332">
        <f>Ressources!T146</f>
        <v>989882.94993235613</v>
      </c>
      <c r="F146" s="305">
        <f t="shared" si="10"/>
        <v>16357730.97873817</v>
      </c>
      <c r="G146" s="304">
        <f>'Besoins structurels'!I146</f>
        <v>0</v>
      </c>
      <c r="H146" s="304">
        <f>'Besoins structurels'!N146</f>
        <v>0</v>
      </c>
      <c r="I146" s="304">
        <f>'Besoins structurels'!V146</f>
        <v>0</v>
      </c>
      <c r="J146" s="306">
        <f t="shared" si="11"/>
        <v>0</v>
      </c>
      <c r="K146" s="304">
        <f>'Charges des villes'!N146</f>
        <v>725540.95971835824</v>
      </c>
      <c r="L146" s="304">
        <f>'Charges des villes'!U146</f>
        <v>599050.16089229879</v>
      </c>
      <c r="M146" s="299">
        <f t="shared" si="12"/>
        <v>1324591.1206106571</v>
      </c>
      <c r="N146" s="305">
        <f>-VLOOKUP(A146,Paramètres!$B$23:$C$316,2,FALSE)*$N$5</f>
        <v>0</v>
      </c>
      <c r="O146" s="319"/>
      <c r="P146" s="598">
        <f t="shared" si="13"/>
        <v>17682322.099348828</v>
      </c>
      <c r="Q146" s="599"/>
      <c r="R146" s="599"/>
      <c r="S146" s="600"/>
      <c r="T146" s="305">
        <f>PCS!D146</f>
        <v>5903597.2636787137</v>
      </c>
      <c r="U146" s="300">
        <f>Police!U146</f>
        <v>183507.26937676023</v>
      </c>
      <c r="V146" s="333">
        <f t="shared" si="14"/>
        <v>23769426.632404301</v>
      </c>
      <c r="W146" s="177"/>
      <c r="X146" s="177"/>
      <c r="Y146" s="177"/>
      <c r="Z146" s="15"/>
    </row>
    <row r="147" spans="1:26" x14ac:dyDescent="0.25">
      <c r="A147" s="108">
        <f>Données!A147</f>
        <v>5648</v>
      </c>
      <c r="B147" s="116" t="str">
        <f>Données!B147</f>
        <v>Saint-Sulpice</v>
      </c>
      <c r="C147" s="304">
        <f>Ressources!H147</f>
        <v>7563148.971434406</v>
      </c>
      <c r="D147" s="304">
        <f>Ressources!L147</f>
        <v>0</v>
      </c>
      <c r="E147" s="332">
        <f>Ressources!T147</f>
        <v>1003804.7007993453</v>
      </c>
      <c r="F147" s="305">
        <f t="shared" si="10"/>
        <v>8566953.672233751</v>
      </c>
      <c r="G147" s="304">
        <f>'Besoins structurels'!I147</f>
        <v>0</v>
      </c>
      <c r="H147" s="304">
        <f>'Besoins structurels'!N147</f>
        <v>0</v>
      </c>
      <c r="I147" s="304">
        <f>'Besoins structurels'!V147</f>
        <v>0</v>
      </c>
      <c r="J147" s="306">
        <f t="shared" si="11"/>
        <v>0</v>
      </c>
      <c r="K147" s="304">
        <f>'Charges des villes'!N147</f>
        <v>774431.39482234232</v>
      </c>
      <c r="L147" s="304">
        <f>'Charges des villes'!U147</f>
        <v>-828977.2289478851</v>
      </c>
      <c r="M147" s="299">
        <f t="shared" si="12"/>
        <v>-54545.83412554278</v>
      </c>
      <c r="N147" s="305">
        <f>-VLOOKUP(A147,Paramètres!$B$23:$C$316,2,FALSE)*$N$5</f>
        <v>0</v>
      </c>
      <c r="O147" s="319"/>
      <c r="P147" s="598">
        <f t="shared" si="13"/>
        <v>8512407.838108208</v>
      </c>
      <c r="Q147" s="599"/>
      <c r="R147" s="599"/>
      <c r="S147" s="600"/>
      <c r="T147" s="305">
        <f>PCS!D147</f>
        <v>5176862.6461134003</v>
      </c>
      <c r="U147" s="300">
        <f>Police!U147</f>
        <v>160917.46873919552</v>
      </c>
      <c r="V147" s="333">
        <f t="shared" si="14"/>
        <v>13850187.952960802</v>
      </c>
      <c r="W147" s="177"/>
      <c r="X147" s="177"/>
      <c r="Y147" s="177"/>
      <c r="Z147" s="15"/>
    </row>
    <row r="148" spans="1:26" x14ac:dyDescent="0.25">
      <c r="A148" s="108">
        <f>Données!A148</f>
        <v>5649</v>
      </c>
      <c r="B148" s="116" t="str">
        <f>Données!B148</f>
        <v>Tolochenaz</v>
      </c>
      <c r="C148" s="304">
        <f>Ressources!H148</f>
        <v>17689300.760499738</v>
      </c>
      <c r="D148" s="304">
        <f>Ressources!L148</f>
        <v>0</v>
      </c>
      <c r="E148" s="332">
        <f>Ressources!T148</f>
        <v>-165198.74419966538</v>
      </c>
      <c r="F148" s="305">
        <f t="shared" si="10"/>
        <v>17524102.016300071</v>
      </c>
      <c r="G148" s="304">
        <f>'Besoins structurels'!I148</f>
        <v>0</v>
      </c>
      <c r="H148" s="304">
        <f>'Besoins structurels'!N148</f>
        <v>0</v>
      </c>
      <c r="I148" s="304">
        <f>'Besoins structurels'!V148</f>
        <v>0</v>
      </c>
      <c r="J148" s="306">
        <f t="shared" si="11"/>
        <v>0</v>
      </c>
      <c r="K148" s="304">
        <f>'Charges des villes'!N148</f>
        <v>678187.3704366294</v>
      </c>
      <c r="L148" s="304">
        <f>'Charges des villes'!U148</f>
        <v>-221331.77012229199</v>
      </c>
      <c r="M148" s="299">
        <f t="shared" si="12"/>
        <v>456855.60031433741</v>
      </c>
      <c r="N148" s="305">
        <f>-VLOOKUP(A148,Paramètres!$B$23:$C$316,2,FALSE)*$N$5</f>
        <v>0</v>
      </c>
      <c r="O148" s="319"/>
      <c r="P148" s="598">
        <f t="shared" si="13"/>
        <v>17980957.616614409</v>
      </c>
      <c r="Q148" s="599"/>
      <c r="R148" s="599"/>
      <c r="S148" s="600"/>
      <c r="T148" s="305">
        <f>PCS!D148</f>
        <v>1922008.7005019519</v>
      </c>
      <c r="U148" s="300">
        <f>Police!U148</f>
        <v>59743.670273284995</v>
      </c>
      <c r="V148" s="333">
        <f t="shared" si="14"/>
        <v>19962709.987389646</v>
      </c>
      <c r="W148" s="177"/>
      <c r="X148" s="177"/>
      <c r="Y148" s="177"/>
      <c r="Z148" s="15"/>
    </row>
    <row r="149" spans="1:26" x14ac:dyDescent="0.25">
      <c r="A149" s="108">
        <f>Données!A149</f>
        <v>5650</v>
      </c>
      <c r="B149" s="116" t="str">
        <f>Données!B149</f>
        <v>Vaux-sur-Morges</v>
      </c>
      <c r="C149" s="304">
        <f>Ressources!H149</f>
        <v>5614775.8761915788</v>
      </c>
      <c r="D149" s="304">
        <f>Ressources!L149</f>
        <v>0</v>
      </c>
      <c r="E149" s="332">
        <f>Ressources!T149</f>
        <v>-36461.65171521686</v>
      </c>
      <c r="F149" s="305">
        <f t="shared" si="10"/>
        <v>5578314.2244763616</v>
      </c>
      <c r="G149" s="304">
        <f>'Besoins structurels'!I149</f>
        <v>-7723</v>
      </c>
      <c r="H149" s="304">
        <f>'Besoins structurels'!N149</f>
        <v>0</v>
      </c>
      <c r="I149" s="304">
        <f>'Besoins structurels'!V149</f>
        <v>0</v>
      </c>
      <c r="J149" s="306">
        <f t="shared" si="11"/>
        <v>-7723</v>
      </c>
      <c r="K149" s="304">
        <f>'Charges des villes'!N149</f>
        <v>86497.512235541304</v>
      </c>
      <c r="L149" s="304">
        <f>'Charges des villes'!U149</f>
        <v>18713.995232197783</v>
      </c>
      <c r="M149" s="299">
        <f t="shared" si="12"/>
        <v>105211.50746773908</v>
      </c>
      <c r="N149" s="305">
        <f>-VLOOKUP(A149,Paramètres!$B$23:$C$316,2,FALSE)*$N$5</f>
        <v>-129150</v>
      </c>
      <c r="O149" s="319"/>
      <c r="P149" s="598">
        <f t="shared" si="13"/>
        <v>5546652.7319441009</v>
      </c>
      <c r="Q149" s="599"/>
      <c r="R149" s="599"/>
      <c r="S149" s="600"/>
      <c r="T149" s="305">
        <f>PCS!D149</f>
        <v>184425.10870999019</v>
      </c>
      <c r="U149" s="300">
        <f>Police!U149</f>
        <v>27575.17029189676</v>
      </c>
      <c r="V149" s="333">
        <f t="shared" si="14"/>
        <v>5758653.0109459879</v>
      </c>
      <c r="W149" s="177"/>
      <c r="X149" s="177"/>
      <c r="Y149" s="177"/>
      <c r="Z149" s="15"/>
    </row>
    <row r="150" spans="1:26" x14ac:dyDescent="0.25">
      <c r="A150" s="108">
        <f>Données!A150</f>
        <v>5651</v>
      </c>
      <c r="B150" s="116" t="str">
        <f>Données!B150</f>
        <v>Villars-Sainte-Croix</v>
      </c>
      <c r="C150" s="304">
        <f>Ressources!H150</f>
        <v>290876.87081711477</v>
      </c>
      <c r="D150" s="304">
        <f>Ressources!L150</f>
        <v>0</v>
      </c>
      <c r="E150" s="332">
        <f>Ressources!T150</f>
        <v>77445.854797570268</v>
      </c>
      <c r="F150" s="305">
        <f t="shared" si="10"/>
        <v>368322.72561468504</v>
      </c>
      <c r="G150" s="304">
        <f>'Besoins structurels'!I150</f>
        <v>0</v>
      </c>
      <c r="H150" s="304">
        <f>'Besoins structurels'!N150</f>
        <v>0</v>
      </c>
      <c r="I150" s="304">
        <f>'Besoins structurels'!V150</f>
        <v>0</v>
      </c>
      <c r="J150" s="306">
        <f t="shared" si="11"/>
        <v>0</v>
      </c>
      <c r="K150" s="304">
        <f>'Charges des villes'!N150</f>
        <v>440903.53534116468</v>
      </c>
      <c r="L150" s="304">
        <f>'Charges des villes'!U150</f>
        <v>-147768.97068128374</v>
      </c>
      <c r="M150" s="299">
        <f t="shared" si="12"/>
        <v>293134.56465988094</v>
      </c>
      <c r="N150" s="305">
        <f>-VLOOKUP(A150,Paramètres!$B$23:$C$316,2,FALSE)*$N$5</f>
        <v>0</v>
      </c>
      <c r="O150" s="319"/>
      <c r="P150" s="598">
        <f t="shared" si="13"/>
        <v>661457.29027456604</v>
      </c>
      <c r="Q150" s="599"/>
      <c r="R150" s="599"/>
      <c r="S150" s="600"/>
      <c r="T150" s="305">
        <f>PCS!D150</f>
        <v>940069.60818119335</v>
      </c>
      <c r="U150" s="300">
        <f>Police!U150</f>
        <v>29221.100138852566</v>
      </c>
      <c r="V150" s="333">
        <f t="shared" si="14"/>
        <v>1630747.9985946121</v>
      </c>
      <c r="W150" s="177"/>
      <c r="X150" s="177"/>
      <c r="Y150" s="177"/>
      <c r="Z150" s="15"/>
    </row>
    <row r="151" spans="1:26" x14ac:dyDescent="0.25">
      <c r="A151" s="108">
        <f>Données!A151</f>
        <v>5652</v>
      </c>
      <c r="B151" s="116" t="str">
        <f>Données!B151</f>
        <v>Villars-sous-Yens</v>
      </c>
      <c r="C151" s="304">
        <f>Ressources!H151</f>
        <v>-357818.102484437</v>
      </c>
      <c r="D151" s="304">
        <f>Ressources!L151</f>
        <v>0</v>
      </c>
      <c r="E151" s="332">
        <f>Ressources!T151</f>
        <v>-34147.954482571702</v>
      </c>
      <c r="F151" s="305">
        <f t="shared" si="10"/>
        <v>-391966.05696700868</v>
      </c>
      <c r="G151" s="304">
        <f>'Besoins structurels'!I151</f>
        <v>0</v>
      </c>
      <c r="H151" s="304">
        <f>'Besoins structurels'!N151</f>
        <v>0</v>
      </c>
      <c r="I151" s="304">
        <f>'Besoins structurels'!V151</f>
        <v>0</v>
      </c>
      <c r="J151" s="306">
        <f t="shared" si="11"/>
        <v>0</v>
      </c>
      <c r="K151" s="304">
        <f>'Charges des villes'!N151</f>
        <v>281935.13447584549</v>
      </c>
      <c r="L151" s="304">
        <f>'Charges des villes'!U151</f>
        <v>60997.508783866288</v>
      </c>
      <c r="M151" s="299">
        <f t="shared" si="12"/>
        <v>342932.6432597118</v>
      </c>
      <c r="N151" s="305">
        <f>-VLOOKUP(A151,Paramètres!$B$23:$C$316,2,FALSE)*$N$5</f>
        <v>0</v>
      </c>
      <c r="O151" s="319"/>
      <c r="P151" s="598">
        <f t="shared" si="13"/>
        <v>-49033.413707296888</v>
      </c>
      <c r="Q151" s="599"/>
      <c r="R151" s="599"/>
      <c r="S151" s="600"/>
      <c r="T151" s="305">
        <f>PCS!D151</f>
        <v>601126.16514661675</v>
      </c>
      <c r="U151" s="300">
        <f>Police!U151</f>
        <v>89880.149654128356</v>
      </c>
      <c r="V151" s="333">
        <f t="shared" si="14"/>
        <v>641972.90109344828</v>
      </c>
      <c r="W151" s="177"/>
      <c r="X151" s="177"/>
      <c r="Y151" s="177"/>
      <c r="Z151" s="15"/>
    </row>
    <row r="152" spans="1:26" x14ac:dyDescent="0.25">
      <c r="A152" s="108">
        <f>Données!A152</f>
        <v>5653</v>
      </c>
      <c r="B152" s="116" t="str">
        <f>Données!B152</f>
        <v>Vufflens-le-Château</v>
      </c>
      <c r="C152" s="304">
        <f>Ressources!H152</f>
        <v>1490923.588948793</v>
      </c>
      <c r="D152" s="304">
        <f>Ressources!L152</f>
        <v>0</v>
      </c>
      <c r="E152" s="332">
        <f>Ressources!T152</f>
        <v>4976.1398573115584</v>
      </c>
      <c r="F152" s="305">
        <f t="shared" si="10"/>
        <v>1495899.7288061045</v>
      </c>
      <c r="G152" s="304">
        <f>'Besoins structurels'!I152</f>
        <v>0</v>
      </c>
      <c r="H152" s="304">
        <f>'Besoins structurels'!N152</f>
        <v>0</v>
      </c>
      <c r="I152" s="304">
        <f>'Besoins structurels'!V152</f>
        <v>0</v>
      </c>
      <c r="J152" s="306">
        <f t="shared" si="11"/>
        <v>0</v>
      </c>
      <c r="K152" s="304">
        <f>'Charges des villes'!N152</f>
        <v>414720.50461040612</v>
      </c>
      <c r="L152" s="304">
        <f>'Charges des villes'!U152</f>
        <v>89726.020383564508</v>
      </c>
      <c r="M152" s="299">
        <f t="shared" si="12"/>
        <v>504446.52499397064</v>
      </c>
      <c r="N152" s="305">
        <f>-VLOOKUP(A152,Paramètres!$B$23:$C$316,2,FALSE)*$N$5</f>
        <v>0</v>
      </c>
      <c r="O152" s="319"/>
      <c r="P152" s="598">
        <f t="shared" si="13"/>
        <v>2000346.253800075</v>
      </c>
      <c r="Q152" s="599"/>
      <c r="R152" s="599"/>
      <c r="S152" s="600"/>
      <c r="T152" s="305">
        <f>PCS!D152</f>
        <v>884243.62932843948</v>
      </c>
      <c r="U152" s="300">
        <f>Police!U152</f>
        <v>132211.76242655364</v>
      </c>
      <c r="V152" s="333">
        <f t="shared" si="14"/>
        <v>3016801.6455550683</v>
      </c>
      <c r="W152" s="177"/>
      <c r="X152" s="177"/>
      <c r="Y152" s="177"/>
      <c r="Z152" s="15"/>
    </row>
    <row r="153" spans="1:26" x14ac:dyDescent="0.25">
      <c r="A153" s="108">
        <f>Données!A153</f>
        <v>5654</v>
      </c>
      <c r="B153" s="116" t="str">
        <f>Données!B153</f>
        <v>Vullierens</v>
      </c>
      <c r="C153" s="304">
        <f>Ressources!H153</f>
        <v>-215574.67370378037</v>
      </c>
      <c r="D153" s="304">
        <f>Ressources!L153</f>
        <v>0</v>
      </c>
      <c r="E153" s="332">
        <f>Ressources!T153</f>
        <v>-39251.217133406084</v>
      </c>
      <c r="F153" s="305">
        <f t="shared" si="10"/>
        <v>-254825.89083718645</v>
      </c>
      <c r="G153" s="304">
        <f>'Besoins structurels'!I153</f>
        <v>-26537</v>
      </c>
      <c r="H153" s="304">
        <f>'Besoins structurels'!N153</f>
        <v>0</v>
      </c>
      <c r="I153" s="304">
        <f>'Besoins structurels'!V153</f>
        <v>-27863</v>
      </c>
      <c r="J153" s="306">
        <f t="shared" si="11"/>
        <v>-54400</v>
      </c>
      <c r="K153" s="304">
        <f>'Charges des villes'!N153</f>
        <v>269778.72735085047</v>
      </c>
      <c r="L153" s="304">
        <f>'Charges des villes'!U153</f>
        <v>58367.433778260114</v>
      </c>
      <c r="M153" s="299">
        <f t="shared" si="12"/>
        <v>328146.16112911061</v>
      </c>
      <c r="N153" s="305">
        <f>-VLOOKUP(A153,Paramètres!$B$23:$C$316,2,FALSE)*$N$5</f>
        <v>0</v>
      </c>
      <c r="O153" s="319"/>
      <c r="P153" s="598">
        <f t="shared" si="13"/>
        <v>18920.270291924127</v>
      </c>
      <c r="Q153" s="599"/>
      <c r="R153" s="599"/>
      <c r="S153" s="600"/>
      <c r="T153" s="305">
        <f>PCS!D153</f>
        <v>575206.96067926672</v>
      </c>
      <c r="U153" s="300">
        <f>Police!U153</f>
        <v>86004.720315807732</v>
      </c>
      <c r="V153" s="333">
        <f t="shared" si="14"/>
        <v>680131.95128699858</v>
      </c>
      <c r="W153" s="177"/>
      <c r="X153" s="177"/>
      <c r="Y153" s="177"/>
      <c r="Z153" s="15"/>
    </row>
    <row r="154" spans="1:26" x14ac:dyDescent="0.25">
      <c r="A154" s="108">
        <f>Données!A154</f>
        <v>5655</v>
      </c>
      <c r="B154" s="116" t="str">
        <f>Données!B154</f>
        <v>Yens</v>
      </c>
      <c r="C154" s="304">
        <f>Ressources!H154</f>
        <v>1533278.1210597977</v>
      </c>
      <c r="D154" s="304">
        <f>Ressources!L154</f>
        <v>0</v>
      </c>
      <c r="E154" s="332">
        <f>Ressources!T154</f>
        <v>50138.411187912629</v>
      </c>
      <c r="F154" s="305">
        <f t="shared" si="10"/>
        <v>1583416.5322477103</v>
      </c>
      <c r="G154" s="304">
        <f>'Besoins structurels'!I154</f>
        <v>0</v>
      </c>
      <c r="H154" s="304">
        <f>'Besoins structurels'!N154</f>
        <v>0</v>
      </c>
      <c r="I154" s="304">
        <f>'Besoins structurels'!V154</f>
        <v>0</v>
      </c>
      <c r="J154" s="306">
        <f t="shared" si="11"/>
        <v>0</v>
      </c>
      <c r="K154" s="304">
        <f>'Charges des villes'!N154</f>
        <v>576729.3285623861</v>
      </c>
      <c r="L154" s="304">
        <f>'Charges des villes'!U154</f>
        <v>149813.11858856713</v>
      </c>
      <c r="M154" s="299">
        <f t="shared" si="12"/>
        <v>726542.44715095323</v>
      </c>
      <c r="N154" s="305">
        <f>-VLOOKUP(A154,Paramètres!$B$23:$C$316,2,FALSE)*$N$5</f>
        <v>0</v>
      </c>
      <c r="O154" s="319"/>
      <c r="P154" s="598">
        <f t="shared" si="13"/>
        <v>2309958.9793986636</v>
      </c>
      <c r="Q154" s="599"/>
      <c r="R154" s="599"/>
      <c r="S154" s="600"/>
      <c r="T154" s="305">
        <f>PCS!D154</f>
        <v>1476397.7621594351</v>
      </c>
      <c r="U154" s="300">
        <f>Police!U154</f>
        <v>232817.71987191576</v>
      </c>
      <c r="V154" s="333">
        <f t="shared" si="14"/>
        <v>4019174.4614300146</v>
      </c>
      <c r="W154" s="177"/>
      <c r="X154" s="177"/>
      <c r="Y154" s="177"/>
      <c r="Z154" s="15"/>
    </row>
    <row r="155" spans="1:26" x14ac:dyDescent="0.25">
      <c r="A155" s="108">
        <f>Données!A155</f>
        <v>5656</v>
      </c>
      <c r="B155" s="116" t="str">
        <f>Données!B155</f>
        <v>Hautemorges</v>
      </c>
      <c r="C155" s="304">
        <f>Ressources!H155</f>
        <v>-2431610.2401534761</v>
      </c>
      <c r="D155" s="304">
        <f>Ressources!L155</f>
        <v>0</v>
      </c>
      <c r="E155" s="332">
        <f>Ressources!T155</f>
        <v>-170701.59490026906</v>
      </c>
      <c r="F155" s="305">
        <f t="shared" si="10"/>
        <v>-2602311.8350537452</v>
      </c>
      <c r="G155" s="304">
        <f>'Besoins structurels'!I155</f>
        <v>0</v>
      </c>
      <c r="H155" s="304">
        <f>'Besoins structurels'!N155</f>
        <v>0</v>
      </c>
      <c r="I155" s="304">
        <f>'Besoins structurels'!V155</f>
        <v>0</v>
      </c>
      <c r="J155" s="306">
        <f t="shared" si="11"/>
        <v>0</v>
      </c>
      <c r="K155" s="304">
        <f>'Charges des villes'!N155</f>
        <v>825870.30253805639</v>
      </c>
      <c r="L155" s="304">
        <f>'Charges des villes'!U155</f>
        <v>447719.69133895886</v>
      </c>
      <c r="M155" s="299">
        <f t="shared" si="12"/>
        <v>1273589.9938770153</v>
      </c>
      <c r="N155" s="305">
        <f>-VLOOKUP(A155,Paramètres!$B$23:$C$316,2,FALSE)*$N$5</f>
        <v>-117750</v>
      </c>
      <c r="O155" s="319"/>
      <c r="P155" s="598">
        <f t="shared" si="13"/>
        <v>-1446471.8411767299</v>
      </c>
      <c r="Q155" s="599"/>
      <c r="R155" s="599"/>
      <c r="S155" s="600"/>
      <c r="T155" s="305">
        <f>PCS!D155</f>
        <v>4412246.1143265767</v>
      </c>
      <c r="U155" s="300">
        <f>Police!U155</f>
        <v>763556.33046972798</v>
      </c>
      <c r="V155" s="333">
        <f t="shared" si="14"/>
        <v>3729330.603619575</v>
      </c>
      <c r="W155" s="177"/>
      <c r="X155" s="177"/>
      <c r="Y155" s="177"/>
      <c r="Z155" s="15"/>
    </row>
    <row r="156" spans="1:26" x14ac:dyDescent="0.25">
      <c r="A156" s="108">
        <f>Données!A156</f>
        <v>5661</v>
      </c>
      <c r="B156" s="116" t="str">
        <f>Données!B156</f>
        <v>Boulens</v>
      </c>
      <c r="C156" s="304">
        <f>Ressources!H156</f>
        <v>-351536.20495803136</v>
      </c>
      <c r="D156" s="304">
        <f>Ressources!L156</f>
        <v>0</v>
      </c>
      <c r="E156" s="332">
        <f>Ressources!T156</f>
        <v>-12017.09352078622</v>
      </c>
      <c r="F156" s="305">
        <f t="shared" si="10"/>
        <v>-363553.29847881757</v>
      </c>
      <c r="G156" s="304">
        <f>'Besoins structurels'!I156</f>
        <v>-6705</v>
      </c>
      <c r="H156" s="304">
        <f>'Besoins structurels'!N156</f>
        <v>0</v>
      </c>
      <c r="I156" s="304">
        <f>'Besoins structurels'!V156</f>
        <v>-42646</v>
      </c>
      <c r="J156" s="306">
        <f t="shared" si="11"/>
        <v>-49351</v>
      </c>
      <c r="K156" s="304">
        <f>'Charges des villes'!N156</f>
        <v>173462.57859127471</v>
      </c>
      <c r="L156" s="304">
        <f>'Charges des villes'!U156</f>
        <v>37529.147195380421</v>
      </c>
      <c r="M156" s="299">
        <f t="shared" si="12"/>
        <v>210991.72578665512</v>
      </c>
      <c r="N156" s="305">
        <f>-VLOOKUP(A156,Paramètres!$B$23:$C$316,2,FALSE)*$N$5</f>
        <v>0</v>
      </c>
      <c r="O156" s="319"/>
      <c r="P156" s="598">
        <f t="shared" si="13"/>
        <v>-201912.57269216244</v>
      </c>
      <c r="Q156" s="599"/>
      <c r="R156" s="599"/>
      <c r="S156" s="600"/>
      <c r="T156" s="305">
        <f>PCS!D156</f>
        <v>369847.10989949387</v>
      </c>
      <c r="U156" s="300">
        <f>Police!U156</f>
        <v>55299.395558344317</v>
      </c>
      <c r="V156" s="333">
        <f t="shared" si="14"/>
        <v>223233.93276567574</v>
      </c>
      <c r="W156" s="177"/>
      <c r="X156" s="177"/>
      <c r="Y156" s="177"/>
      <c r="Z156" s="15"/>
    </row>
    <row r="157" spans="1:26" x14ac:dyDescent="0.25">
      <c r="A157" s="108">
        <f>Données!A157</f>
        <v>5663</v>
      </c>
      <c r="B157" s="116" t="str">
        <f>Données!B157</f>
        <v>Bussy-sur-Moudon</v>
      </c>
      <c r="C157" s="304">
        <f>Ressources!H157</f>
        <v>-352905.69041037356</v>
      </c>
      <c r="D157" s="304">
        <f>Ressources!L157</f>
        <v>0</v>
      </c>
      <c r="E157" s="332">
        <f>Ressources!T157</f>
        <v>-36043.56912412378</v>
      </c>
      <c r="F157" s="305">
        <f t="shared" si="10"/>
        <v>-388949.25953449734</v>
      </c>
      <c r="G157" s="304">
        <f>'Besoins structurels'!I157</f>
        <v>-12052</v>
      </c>
      <c r="H157" s="304">
        <f>'Besoins structurels'!N157</f>
        <v>0</v>
      </c>
      <c r="I157" s="304">
        <f>'Besoins structurels'!V157</f>
        <v>0</v>
      </c>
      <c r="J157" s="306">
        <f t="shared" si="11"/>
        <v>-12052</v>
      </c>
      <c r="K157" s="304">
        <f>'Charges des villes'!N157</f>
        <v>124836.95009129474</v>
      </c>
      <c r="L157" s="304">
        <f>'Charges des villes'!U157</f>
        <v>27008.84717295572</v>
      </c>
      <c r="M157" s="299">
        <f t="shared" si="12"/>
        <v>151845.79726425046</v>
      </c>
      <c r="N157" s="305">
        <f>-VLOOKUP(A157,Paramètres!$B$23:$C$316,2,FALSE)*$N$5</f>
        <v>-13725</v>
      </c>
      <c r="O157" s="319"/>
      <c r="P157" s="598">
        <f t="shared" si="13"/>
        <v>-262880.46227024688</v>
      </c>
      <c r="Q157" s="599"/>
      <c r="R157" s="599"/>
      <c r="S157" s="600"/>
      <c r="T157" s="305">
        <f>PCS!D157</f>
        <v>266170.29203009396</v>
      </c>
      <c r="U157" s="300">
        <f>Police!U157</f>
        <v>39797.678205061813</v>
      </c>
      <c r="V157" s="333">
        <f t="shared" si="14"/>
        <v>43087.507964908895</v>
      </c>
      <c r="W157" s="177"/>
      <c r="X157" s="177"/>
      <c r="Y157" s="177"/>
      <c r="Z157" s="15"/>
    </row>
    <row r="158" spans="1:26" x14ac:dyDescent="0.25">
      <c r="A158" s="108">
        <f>Données!A158</f>
        <v>5665</v>
      </c>
      <c r="B158" s="116" t="str">
        <f>Données!B158</f>
        <v>Chavannes-sur-Moudon</v>
      </c>
      <c r="C158" s="304">
        <f>Ressources!H158</f>
        <v>-295359.34570507513</v>
      </c>
      <c r="D158" s="304">
        <f>Ressources!L158</f>
        <v>0</v>
      </c>
      <c r="E158" s="332">
        <f>Ressources!T158</f>
        <v>-32462.915961785457</v>
      </c>
      <c r="F158" s="305">
        <f t="shared" si="10"/>
        <v>-327822.26166686061</v>
      </c>
      <c r="G158" s="304">
        <f>'Besoins structurels'!I158</f>
        <v>-36244</v>
      </c>
      <c r="H158" s="304">
        <f>'Besoins structurels'!N158</f>
        <v>-857</v>
      </c>
      <c r="I158" s="304">
        <f>'Besoins structurels'!V158</f>
        <v>0</v>
      </c>
      <c r="J158" s="306">
        <f t="shared" si="11"/>
        <v>-37101</v>
      </c>
      <c r="K158" s="304">
        <f>'Charges des villes'!N158</f>
        <v>108472.55588457071</v>
      </c>
      <c r="L158" s="304">
        <f>'Charges des villes'!U158</f>
        <v>23468.36158848587</v>
      </c>
      <c r="M158" s="299">
        <f t="shared" si="12"/>
        <v>131940.91747305659</v>
      </c>
      <c r="N158" s="305">
        <f>-VLOOKUP(A158,Paramètres!$B$23:$C$316,2,FALSE)*$N$5</f>
        <v>0</v>
      </c>
      <c r="O158" s="319"/>
      <c r="P158" s="598">
        <f t="shared" si="13"/>
        <v>-232982.34419380402</v>
      </c>
      <c r="Q158" s="599"/>
      <c r="R158" s="599"/>
      <c r="S158" s="600"/>
      <c r="T158" s="305">
        <f>PCS!D158</f>
        <v>231279.05524712286</v>
      </c>
      <c r="U158" s="300">
        <f>Police!U158</f>
        <v>34580.754095784047</v>
      </c>
      <c r="V158" s="333">
        <f t="shared" si="14"/>
        <v>32877.465149102885</v>
      </c>
      <c r="W158" s="177"/>
      <c r="X158" s="177"/>
      <c r="Y158" s="177"/>
      <c r="Z158" s="15"/>
    </row>
    <row r="159" spans="1:26" x14ac:dyDescent="0.25">
      <c r="A159" s="108">
        <f>Données!A159</f>
        <v>5671</v>
      </c>
      <c r="B159" s="116" t="str">
        <f>Données!B159</f>
        <v>Dompierre</v>
      </c>
      <c r="C159" s="304">
        <f>Ressources!H159</f>
        <v>-377863.9354681765</v>
      </c>
      <c r="D159" s="304">
        <f>Ressources!L159</f>
        <v>-11499</v>
      </c>
      <c r="E159" s="332">
        <f>Ressources!T159</f>
        <v>-3419.6418653106957</v>
      </c>
      <c r="F159" s="305">
        <f t="shared" si="10"/>
        <v>-392782.57733348722</v>
      </c>
      <c r="G159" s="304">
        <f>'Besoins structurels'!I159</f>
        <v>-15341</v>
      </c>
      <c r="H159" s="304">
        <f>'Besoins structurels'!N159</f>
        <v>-68</v>
      </c>
      <c r="I159" s="304">
        <f>'Besoins structurels'!V159</f>
        <v>-21344</v>
      </c>
      <c r="J159" s="306">
        <f t="shared" si="11"/>
        <v>-36753</v>
      </c>
      <c r="K159" s="304">
        <f>'Charges des villes'!N159</f>
        <v>113148.09708649188</v>
      </c>
      <c r="L159" s="304">
        <f>'Charges des villes'!U159</f>
        <v>24479.928898334398</v>
      </c>
      <c r="M159" s="299">
        <f t="shared" si="12"/>
        <v>137628.02598482626</v>
      </c>
      <c r="N159" s="305">
        <f>-VLOOKUP(A159,Paramètres!$B$23:$C$316,2,FALSE)*$N$5</f>
        <v>-19275</v>
      </c>
      <c r="O159" s="319"/>
      <c r="P159" s="598">
        <f t="shared" si="13"/>
        <v>-311182.55134866096</v>
      </c>
      <c r="Q159" s="599"/>
      <c r="R159" s="599"/>
      <c r="S159" s="600"/>
      <c r="T159" s="305">
        <f>PCS!D159</f>
        <v>241247.98004225746</v>
      </c>
      <c r="U159" s="300">
        <f>Police!U159</f>
        <v>36071.303841291985</v>
      </c>
      <c r="V159" s="333">
        <f t="shared" si="14"/>
        <v>-33863.267465111508</v>
      </c>
      <c r="W159" s="177"/>
      <c r="X159" s="177"/>
      <c r="Y159" s="177"/>
      <c r="Z159" s="15"/>
    </row>
    <row r="160" spans="1:26" x14ac:dyDescent="0.25">
      <c r="A160" s="108">
        <f>Données!A160</f>
        <v>5673</v>
      </c>
      <c r="B160" s="116" t="str">
        <f>Données!B160</f>
        <v>Hermenches</v>
      </c>
      <c r="C160" s="304">
        <f>Ressources!H160</f>
        <v>-478730.93492915202</v>
      </c>
      <c r="D160" s="304">
        <f>Ressources!L160</f>
        <v>0</v>
      </c>
      <c r="E160" s="332">
        <f>Ressources!T160</f>
        <v>-61128.57788831857</v>
      </c>
      <c r="F160" s="305">
        <f t="shared" si="10"/>
        <v>-539859.51281747059</v>
      </c>
      <c r="G160" s="304">
        <f>'Besoins structurels'!I160</f>
        <v>-21915</v>
      </c>
      <c r="H160" s="304">
        <f>'Besoins structurels'!N160</f>
        <v>-4771</v>
      </c>
      <c r="I160" s="304">
        <f>'Besoins structurels'!V160</f>
        <v>0</v>
      </c>
      <c r="J160" s="306">
        <f t="shared" si="11"/>
        <v>-26686</v>
      </c>
      <c r="K160" s="304">
        <f>'Charges des villes'!N160</f>
        <v>170189.69974992995</v>
      </c>
      <c r="L160" s="304">
        <f>'Charges des villes'!U160</f>
        <v>36821.050078486449</v>
      </c>
      <c r="M160" s="299">
        <f t="shared" si="12"/>
        <v>207010.74982841639</v>
      </c>
      <c r="N160" s="305">
        <f>-VLOOKUP(A160,Paramètres!$B$23:$C$316,2,FALSE)*$N$5</f>
        <v>-2775</v>
      </c>
      <c r="O160" s="319"/>
      <c r="P160" s="598">
        <f t="shared" si="13"/>
        <v>-362309.7629890542</v>
      </c>
      <c r="Q160" s="599"/>
      <c r="R160" s="599"/>
      <c r="S160" s="600"/>
      <c r="T160" s="305">
        <f>PCS!D160</f>
        <v>362868.86254289962</v>
      </c>
      <c r="U160" s="300">
        <f>Police!U160</f>
        <v>54256.010736488766</v>
      </c>
      <c r="V160" s="333">
        <f t="shared" si="14"/>
        <v>54815.110290334182</v>
      </c>
      <c r="W160" s="177"/>
      <c r="X160" s="177"/>
      <c r="Y160" s="177"/>
      <c r="Z160" s="15"/>
    </row>
    <row r="161" spans="1:26" x14ac:dyDescent="0.25">
      <c r="A161" s="108">
        <f>Données!A161</f>
        <v>5674</v>
      </c>
      <c r="B161" s="116" t="str">
        <f>Données!B161</f>
        <v>Lovatens</v>
      </c>
      <c r="C161" s="304">
        <f>Ressources!H161</f>
        <v>-132329.43483802766</v>
      </c>
      <c r="D161" s="304">
        <f>Ressources!L161</f>
        <v>0</v>
      </c>
      <c r="E161" s="332">
        <f>Ressources!T161</f>
        <v>-22463.058733583577</v>
      </c>
      <c r="F161" s="305">
        <f t="shared" si="10"/>
        <v>-154792.49357161124</v>
      </c>
      <c r="G161" s="304">
        <f>'Besoins structurels'!I161</f>
        <v>-24911</v>
      </c>
      <c r="H161" s="304">
        <f>'Besoins structurels'!N161</f>
        <v>-576</v>
      </c>
      <c r="I161" s="304">
        <f>'Besoins structurels'!V161</f>
        <v>0</v>
      </c>
      <c r="J161" s="306">
        <f t="shared" si="11"/>
        <v>-25487</v>
      </c>
      <c r="K161" s="304">
        <f>'Charges des villes'!N161</f>
        <v>71068.226269201507</v>
      </c>
      <c r="L161" s="304">
        <f>'Charges des villes'!U161</f>
        <v>15375.823109697638</v>
      </c>
      <c r="M161" s="299">
        <f t="shared" si="12"/>
        <v>86444.049378899144</v>
      </c>
      <c r="N161" s="305">
        <f>-VLOOKUP(A161,Paramètres!$B$23:$C$316,2,FALSE)*$N$5</f>
        <v>0</v>
      </c>
      <c r="O161" s="319"/>
      <c r="P161" s="598">
        <f t="shared" si="13"/>
        <v>-93835.444192712093</v>
      </c>
      <c r="Q161" s="599"/>
      <c r="R161" s="599"/>
      <c r="S161" s="600"/>
      <c r="T161" s="305">
        <f>PCS!D161</f>
        <v>151527.656886046</v>
      </c>
      <c r="U161" s="300">
        <f>Police!U161</f>
        <v>22656.356131720582</v>
      </c>
      <c r="V161" s="333">
        <f t="shared" si="14"/>
        <v>80348.568825054477</v>
      </c>
      <c r="W161" s="177"/>
      <c r="X161" s="177"/>
      <c r="Y161" s="177"/>
      <c r="Z161" s="15"/>
    </row>
    <row r="162" spans="1:26" x14ac:dyDescent="0.25">
      <c r="A162" s="108">
        <f>Données!A162</f>
        <v>5675</v>
      </c>
      <c r="B162" s="116" t="str">
        <f>Données!B162</f>
        <v>Lucens</v>
      </c>
      <c r="C162" s="304">
        <f>Ressources!H162</f>
        <v>-8557977.539636964</v>
      </c>
      <c r="D162" s="304">
        <f>Ressources!L162</f>
        <v>-358788</v>
      </c>
      <c r="E162" s="332">
        <f>Ressources!T162</f>
        <v>-468224.86429100716</v>
      </c>
      <c r="F162" s="305">
        <f t="shared" si="10"/>
        <v>-9384990.4039279707</v>
      </c>
      <c r="G162" s="304">
        <f>'Besoins structurels'!I162</f>
        <v>0</v>
      </c>
      <c r="H162" s="304">
        <f>'Besoins structurels'!N162</f>
        <v>-11917</v>
      </c>
      <c r="I162" s="304">
        <f>'Besoins structurels'!V162</f>
        <v>-212763</v>
      </c>
      <c r="J162" s="306">
        <f t="shared" si="11"/>
        <v>-224680</v>
      </c>
      <c r="K162" s="304">
        <f>'Charges des villes'!N162</f>
        <v>774364.32975361263</v>
      </c>
      <c r="L162" s="304">
        <f>'Charges des villes'!U162</f>
        <v>525408.06073532591</v>
      </c>
      <c r="M162" s="299">
        <f t="shared" si="12"/>
        <v>1299772.3904889384</v>
      </c>
      <c r="N162" s="305">
        <f>-VLOOKUP(A162,Paramètres!$B$23:$C$316,2,FALSE)*$N$5</f>
        <v>0</v>
      </c>
      <c r="O162" s="319"/>
      <c r="P162" s="598">
        <f t="shared" si="13"/>
        <v>-8309898.0134390322</v>
      </c>
      <c r="Q162" s="599"/>
      <c r="R162" s="599"/>
      <c r="S162" s="600"/>
      <c r="T162" s="305">
        <f>PCS!D162</f>
        <v>5177859.5385929141</v>
      </c>
      <c r="U162" s="300">
        <f>Police!U162</f>
        <v>909365.39687105</v>
      </c>
      <c r="V162" s="333">
        <f t="shared" si="14"/>
        <v>-2222673.0779750682</v>
      </c>
      <c r="W162" s="177"/>
      <c r="X162" s="177"/>
      <c r="Y162" s="177"/>
      <c r="Z162" s="15"/>
    </row>
    <row r="163" spans="1:26" x14ac:dyDescent="0.25">
      <c r="A163" s="108">
        <f>Données!A163</f>
        <v>5678</v>
      </c>
      <c r="B163" s="116" t="str">
        <f>Données!B163</f>
        <v>Moudon</v>
      </c>
      <c r="C163" s="304">
        <f>Ressources!H163</f>
        <v>-10991376.979375761</v>
      </c>
      <c r="D163" s="304">
        <f>Ressources!L163</f>
        <v>-400424</v>
      </c>
      <c r="E163" s="332">
        <f>Ressources!T163</f>
        <v>-644815.31364372873</v>
      </c>
      <c r="F163" s="305">
        <f t="shared" si="10"/>
        <v>-12036616.29301949</v>
      </c>
      <c r="G163" s="304">
        <f>'Besoins structurels'!I163</f>
        <v>0</v>
      </c>
      <c r="H163" s="304">
        <f>'Besoins structurels'!N163</f>
        <v>-4215</v>
      </c>
      <c r="I163" s="304">
        <f>'Besoins structurels'!V163</f>
        <v>-437164</v>
      </c>
      <c r="J163" s="306">
        <f t="shared" si="11"/>
        <v>-441379</v>
      </c>
      <c r="K163" s="304">
        <f>'Charges des villes'!N163</f>
        <v>663505.77114334516</v>
      </c>
      <c r="L163" s="304">
        <f>'Charges des villes'!U163</f>
        <v>692620.1370532877</v>
      </c>
      <c r="M163" s="299">
        <f t="shared" si="12"/>
        <v>1356125.9081966328</v>
      </c>
      <c r="N163" s="305">
        <f>-VLOOKUP(A163,Paramètres!$B$23:$C$316,2,FALSE)*$N$5</f>
        <v>0</v>
      </c>
      <c r="O163" s="319"/>
      <c r="P163" s="598">
        <f t="shared" si="13"/>
        <v>-11121869.384822857</v>
      </c>
      <c r="Q163" s="599"/>
      <c r="R163" s="599"/>
      <c r="S163" s="600"/>
      <c r="T163" s="305">
        <f>PCS!D163</f>
        <v>6825722.8072286649</v>
      </c>
      <c r="U163" s="300">
        <f>Police!U163</f>
        <v>1238694.0229648482</v>
      </c>
      <c r="V163" s="333">
        <f t="shared" si="14"/>
        <v>-3057452.5546293436</v>
      </c>
      <c r="W163" s="177"/>
      <c r="X163" s="177"/>
      <c r="Y163" s="177"/>
      <c r="Z163" s="15"/>
    </row>
    <row r="164" spans="1:26" x14ac:dyDescent="0.25">
      <c r="A164" s="108">
        <f>Données!A164</f>
        <v>5680</v>
      </c>
      <c r="B164" s="116" t="str">
        <f>Données!B164</f>
        <v>Ogens</v>
      </c>
      <c r="C164" s="304">
        <f>Ressources!H164</f>
        <v>-353606.52242468583</v>
      </c>
      <c r="D164" s="304">
        <f>Ressources!L164</f>
        <v>0</v>
      </c>
      <c r="E164" s="332">
        <f>Ressources!T164</f>
        <v>-25074.975900563048</v>
      </c>
      <c r="F164" s="305">
        <f t="shared" si="10"/>
        <v>-378681.49832524889</v>
      </c>
      <c r="G164" s="304">
        <f>'Besoins structurels'!I164</f>
        <v>-8603</v>
      </c>
      <c r="H164" s="304">
        <f>'Besoins structurels'!N164</f>
        <v>0</v>
      </c>
      <c r="I164" s="304">
        <f>'Besoins structurels'!V164</f>
        <v>-70017</v>
      </c>
      <c r="J164" s="306">
        <f t="shared" si="11"/>
        <v>-78620</v>
      </c>
      <c r="K164" s="304">
        <f>'Charges des villes'!N164</f>
        <v>159903.50910570339</v>
      </c>
      <c r="L164" s="304">
        <f>'Charges des villes'!U164</f>
        <v>34595.601996819685</v>
      </c>
      <c r="M164" s="299">
        <f t="shared" si="12"/>
        <v>194499.11110252308</v>
      </c>
      <c r="N164" s="305">
        <f>-VLOOKUP(A164,Paramètres!$B$23:$C$316,2,FALSE)*$N$5</f>
        <v>0</v>
      </c>
      <c r="O164" s="319"/>
      <c r="P164" s="598">
        <f t="shared" si="13"/>
        <v>-262802.38722272578</v>
      </c>
      <c r="Q164" s="599"/>
      <c r="R164" s="599"/>
      <c r="S164" s="600"/>
      <c r="T164" s="305">
        <f>PCS!D164</f>
        <v>340937.2279936035</v>
      </c>
      <c r="U164" s="300">
        <f>Police!U164</f>
        <v>50976.801296371312</v>
      </c>
      <c r="V164" s="333">
        <f t="shared" si="14"/>
        <v>129111.64206724903</v>
      </c>
      <c r="W164" s="177"/>
      <c r="X164" s="177"/>
      <c r="Y164" s="177"/>
      <c r="Z164" s="15"/>
    </row>
    <row r="165" spans="1:26" x14ac:dyDescent="0.25">
      <c r="A165" s="108">
        <f>Données!A165</f>
        <v>5683</v>
      </c>
      <c r="B165" s="116" t="str">
        <f>Données!B165</f>
        <v>Prévonloup</v>
      </c>
      <c r="C165" s="304">
        <f>Ressources!H165</f>
        <v>-384210.85041216353</v>
      </c>
      <c r="D165" s="304">
        <f>Ressources!L165</f>
        <v>-10686</v>
      </c>
      <c r="E165" s="332">
        <f>Ressources!T165</f>
        <v>-17466.712497778361</v>
      </c>
      <c r="F165" s="305">
        <f t="shared" si="10"/>
        <v>-412363.56290994189</v>
      </c>
      <c r="G165" s="304">
        <f>'Besoins structurels'!I165</f>
        <v>0</v>
      </c>
      <c r="H165" s="304">
        <f>'Besoins structurels'!N165</f>
        <v>-732</v>
      </c>
      <c r="I165" s="304">
        <f>'Besoins structurels'!V165</f>
        <v>-27104</v>
      </c>
      <c r="J165" s="306">
        <f t="shared" si="11"/>
        <v>-27836</v>
      </c>
      <c r="K165" s="304">
        <f>'Charges des villes'!N165</f>
        <v>116420.97592783667</v>
      </c>
      <c r="L165" s="304">
        <f>'Charges des villes'!U165</f>
        <v>25188.02601522837</v>
      </c>
      <c r="M165" s="299">
        <f t="shared" si="12"/>
        <v>141609.00194306503</v>
      </c>
      <c r="N165" s="305">
        <f>-VLOOKUP(A165,Paramètres!$B$23:$C$316,2,FALSE)*$N$5</f>
        <v>0</v>
      </c>
      <c r="O165" s="319"/>
      <c r="P165" s="598">
        <f t="shared" si="13"/>
        <v>-298590.56096687686</v>
      </c>
      <c r="Q165" s="599"/>
      <c r="R165" s="599"/>
      <c r="S165" s="600"/>
      <c r="T165" s="305">
        <f>PCS!D165</f>
        <v>248226.22739885168</v>
      </c>
      <c r="U165" s="300">
        <f>Police!U165</f>
        <v>37114.688663147535</v>
      </c>
      <c r="V165" s="333">
        <f t="shared" si="14"/>
        <v>-13249.644904877641</v>
      </c>
      <c r="W165" s="177"/>
      <c r="X165" s="177"/>
      <c r="Y165" s="177"/>
      <c r="Z165" s="15"/>
    </row>
    <row r="166" spans="1:26" x14ac:dyDescent="0.25">
      <c r="A166" s="108">
        <f>Données!A166</f>
        <v>5684</v>
      </c>
      <c r="B166" s="116" t="str">
        <f>Données!B166</f>
        <v>Rossenges</v>
      </c>
      <c r="C166" s="304">
        <f>Ressources!H166</f>
        <v>-59748.744989198385</v>
      </c>
      <c r="D166" s="304">
        <f>Ressources!L166</f>
        <v>0</v>
      </c>
      <c r="E166" s="332">
        <f>Ressources!T166</f>
        <v>-16181.477408906931</v>
      </c>
      <c r="F166" s="305">
        <f t="shared" si="10"/>
        <v>-75930.22239810531</v>
      </c>
      <c r="G166" s="304">
        <f>'Besoins structurels'!I166</f>
        <v>-4757</v>
      </c>
      <c r="H166" s="304">
        <f>'Besoins structurels'!N166</f>
        <v>0</v>
      </c>
      <c r="I166" s="304">
        <f>'Besoins structurels'!V166</f>
        <v>0</v>
      </c>
      <c r="J166" s="306">
        <f t="shared" si="11"/>
        <v>-4757</v>
      </c>
      <c r="K166" s="304">
        <f>'Charges des villes'!N166</f>
        <v>38339.437855753436</v>
      </c>
      <c r="L166" s="304">
        <f>'Charges des villes'!U166</f>
        <v>8294.851940757937</v>
      </c>
      <c r="M166" s="299">
        <f t="shared" si="12"/>
        <v>46634.289796511373</v>
      </c>
      <c r="N166" s="305">
        <f>-VLOOKUP(A166,Paramètres!$B$23:$C$316,2,FALSE)*$N$5</f>
        <v>0</v>
      </c>
      <c r="O166" s="319"/>
      <c r="P166" s="598">
        <f t="shared" si="13"/>
        <v>-34052.932601593937</v>
      </c>
      <c r="Q166" s="599"/>
      <c r="R166" s="599"/>
      <c r="S166" s="600"/>
      <c r="T166" s="305">
        <f>PCS!D166</f>
        <v>81745.183320103766</v>
      </c>
      <c r="U166" s="300">
        <f>Police!U166</f>
        <v>12222.507913165051</v>
      </c>
      <c r="V166" s="333">
        <f t="shared" si="14"/>
        <v>59914.758631674878</v>
      </c>
      <c r="W166" s="177"/>
      <c r="X166" s="177"/>
      <c r="Y166" s="177"/>
      <c r="Z166" s="15"/>
    </row>
    <row r="167" spans="1:26" x14ac:dyDescent="0.25">
      <c r="A167" s="108">
        <f>Données!A167</f>
        <v>5688</v>
      </c>
      <c r="B167" s="116" t="str">
        <f>Données!B167</f>
        <v>Syens</v>
      </c>
      <c r="C167" s="304">
        <f>Ressources!H167</f>
        <v>-154517.08282942473</v>
      </c>
      <c r="D167" s="304">
        <f>Ressources!L167</f>
        <v>0</v>
      </c>
      <c r="E167" s="332">
        <f>Ressources!T167</f>
        <v>17556.636989236609</v>
      </c>
      <c r="F167" s="305">
        <f t="shared" si="10"/>
        <v>-136960.44584018813</v>
      </c>
      <c r="G167" s="304">
        <f>'Besoins structurels'!I167</f>
        <v>-15288</v>
      </c>
      <c r="H167" s="304">
        <f>'Besoins structurels'!N167</f>
        <v>0</v>
      </c>
      <c r="I167" s="304">
        <f>'Besoins structurels'!V167</f>
        <v>-4652</v>
      </c>
      <c r="J167" s="306">
        <f t="shared" si="11"/>
        <v>-19940</v>
      </c>
      <c r="K167" s="304">
        <f>'Charges des villes'!N167</f>
        <v>67327.793307664586</v>
      </c>
      <c r="L167" s="304">
        <f>'Charges des villes'!U167</f>
        <v>14566.569261818815</v>
      </c>
      <c r="M167" s="299">
        <f t="shared" si="12"/>
        <v>81894.362569483405</v>
      </c>
      <c r="N167" s="305">
        <f>-VLOOKUP(A167,Paramètres!$B$23:$C$316,2,FALSE)*$N$5</f>
        <v>0</v>
      </c>
      <c r="O167" s="319"/>
      <c r="P167" s="598">
        <f t="shared" si="13"/>
        <v>-75006.083270704723</v>
      </c>
      <c r="Q167" s="599"/>
      <c r="R167" s="599"/>
      <c r="S167" s="600"/>
      <c r="T167" s="305">
        <f>PCS!D167</f>
        <v>143552.51704993832</v>
      </c>
      <c r="U167" s="300">
        <f>Police!U167</f>
        <v>21463.916335314236</v>
      </c>
      <c r="V167" s="333">
        <f t="shared" si="14"/>
        <v>90010.350114547837</v>
      </c>
      <c r="W167" s="177"/>
      <c r="X167" s="177"/>
      <c r="Y167" s="177"/>
      <c r="Z167" s="15"/>
    </row>
    <row r="168" spans="1:26" x14ac:dyDescent="0.25">
      <c r="A168" s="108">
        <f>Données!A168</f>
        <v>5690</v>
      </c>
      <c r="B168" s="116" t="str">
        <f>Données!B168</f>
        <v>Villars-le-Comte</v>
      </c>
      <c r="C168" s="304">
        <f>Ressources!H168</f>
        <v>-110545.69269845457</v>
      </c>
      <c r="D168" s="304">
        <f>Ressources!L168</f>
        <v>0</v>
      </c>
      <c r="E168" s="332">
        <f>Ressources!T168</f>
        <v>-2204.3766554755348</v>
      </c>
      <c r="F168" s="305">
        <f t="shared" si="10"/>
        <v>-112750.0693539301</v>
      </c>
      <c r="G168" s="304">
        <f>'Besoins structurels'!I168</f>
        <v>-34455</v>
      </c>
      <c r="H168" s="304">
        <f>'Besoins structurels'!N168</f>
        <v>-3063</v>
      </c>
      <c r="I168" s="304">
        <f>'Besoins structurels'!V168</f>
        <v>0</v>
      </c>
      <c r="J168" s="306">
        <f t="shared" si="11"/>
        <v>-37518</v>
      </c>
      <c r="K168" s="304">
        <f>'Charges des villes'!N168</f>
        <v>60314.48150478286</v>
      </c>
      <c r="L168" s="304">
        <f>'Charges des villes'!U168</f>
        <v>13049.218297046022</v>
      </c>
      <c r="M168" s="299">
        <f t="shared" si="12"/>
        <v>73363.699801828887</v>
      </c>
      <c r="N168" s="305">
        <f>-VLOOKUP(A168,Paramètres!$B$23:$C$316,2,FALSE)*$N$5</f>
        <v>0</v>
      </c>
      <c r="O168" s="319"/>
      <c r="P168" s="598">
        <f t="shared" si="13"/>
        <v>-76904.369552101212</v>
      </c>
      <c r="Q168" s="599"/>
      <c r="R168" s="599"/>
      <c r="S168" s="600"/>
      <c r="T168" s="305">
        <f>PCS!D168</f>
        <v>128599.12985723642</v>
      </c>
      <c r="U168" s="300">
        <f>Police!U168</f>
        <v>19228.091717052339</v>
      </c>
      <c r="V168" s="333">
        <f t="shared" si="14"/>
        <v>70922.852022187551</v>
      </c>
      <c r="W168" s="177"/>
      <c r="X168" s="177"/>
      <c r="Y168" s="177"/>
      <c r="Z168" s="15"/>
    </row>
    <row r="169" spans="1:26" x14ac:dyDescent="0.25">
      <c r="A169" s="108">
        <f>Données!A169</f>
        <v>5692</v>
      </c>
      <c r="B169" s="116" t="str">
        <f>Données!B169</f>
        <v>Vucherens</v>
      </c>
      <c r="C169" s="304">
        <f>Ressources!H169</f>
        <v>-800192.88178611966</v>
      </c>
      <c r="D169" s="304">
        <f>Ressources!L169</f>
        <v>0</v>
      </c>
      <c r="E169" s="332">
        <f>Ressources!T169</f>
        <v>-22399.147283499915</v>
      </c>
      <c r="F169" s="305">
        <f t="shared" si="10"/>
        <v>-822592.0290696196</v>
      </c>
      <c r="G169" s="304">
        <f>'Besoins structurels'!I169</f>
        <v>0</v>
      </c>
      <c r="H169" s="304">
        <f>'Besoins structurels'!N169</f>
        <v>-10374</v>
      </c>
      <c r="I169" s="304">
        <f>'Besoins structurels'!V169</f>
        <v>-96452</v>
      </c>
      <c r="J169" s="306">
        <f t="shared" si="11"/>
        <v>-106826</v>
      </c>
      <c r="K169" s="304">
        <f>'Charges des villes'!N169</f>
        <v>296429.31220180099</v>
      </c>
      <c r="L169" s="304">
        <f>'Charges des villes'!U169</f>
        <v>64133.367444396732</v>
      </c>
      <c r="M169" s="299">
        <f t="shared" si="12"/>
        <v>360562.67964619771</v>
      </c>
      <c r="N169" s="305">
        <f>-VLOOKUP(A169,Paramètres!$B$23:$C$316,2,FALSE)*$N$5</f>
        <v>0</v>
      </c>
      <c r="O169" s="319"/>
      <c r="P169" s="598">
        <f t="shared" si="13"/>
        <v>-568855.3494234219</v>
      </c>
      <c r="Q169" s="599"/>
      <c r="R169" s="599"/>
      <c r="S169" s="600"/>
      <c r="T169" s="305">
        <f>PCS!D169</f>
        <v>632029.83201153402</v>
      </c>
      <c r="U169" s="300">
        <f>Police!U169</f>
        <v>94500.853865202953</v>
      </c>
      <c r="V169" s="333">
        <f t="shared" si="14"/>
        <v>157675.33645331507</v>
      </c>
      <c r="W169" s="177"/>
      <c r="X169" s="177"/>
      <c r="Y169" s="177"/>
      <c r="Z169" s="15"/>
    </row>
    <row r="170" spans="1:26" x14ac:dyDescent="0.25">
      <c r="A170" s="108">
        <f>Données!A170</f>
        <v>5693</v>
      </c>
      <c r="B170" s="116" t="str">
        <f>Données!B170</f>
        <v>Montanaire</v>
      </c>
      <c r="C170" s="304">
        <f>Ressources!H170</f>
        <v>-3588056.8147846884</v>
      </c>
      <c r="D170" s="304">
        <f>Ressources!L170</f>
        <v>0</v>
      </c>
      <c r="E170" s="332">
        <f>Ressources!T170</f>
        <v>-391494.63804680726</v>
      </c>
      <c r="F170" s="305">
        <f t="shared" si="10"/>
        <v>-3979551.4528314956</v>
      </c>
      <c r="G170" s="304">
        <f>'Besoins structurels'!I170</f>
        <v>-128273</v>
      </c>
      <c r="H170" s="304">
        <f>'Besoins structurels'!N170</f>
        <v>-102207</v>
      </c>
      <c r="I170" s="304">
        <f>'Besoins structurels'!V170</f>
        <v>-158989</v>
      </c>
      <c r="J170" s="306">
        <f t="shared" si="11"/>
        <v>-389469</v>
      </c>
      <c r="K170" s="304">
        <f>'Charges des villes'!N170</f>
        <v>888820.62068114383</v>
      </c>
      <c r="L170" s="304">
        <f>'Charges des villes'!U170</f>
        <v>288903.62369273981</v>
      </c>
      <c r="M170" s="299">
        <f t="shared" si="12"/>
        <v>1177724.2443738836</v>
      </c>
      <c r="N170" s="305">
        <f>-VLOOKUP(A170,Paramètres!$B$23:$C$316,2,FALSE)*$N$5</f>
        <v>0</v>
      </c>
      <c r="O170" s="319"/>
      <c r="P170" s="598">
        <f t="shared" si="13"/>
        <v>-3191296.208457612</v>
      </c>
      <c r="Q170" s="599"/>
      <c r="R170" s="599"/>
      <c r="S170" s="600"/>
      <c r="T170" s="305">
        <f>PCS!D170</f>
        <v>2847124.9214904434</v>
      </c>
      <c r="U170" s="300">
        <f>Police!U170</f>
        <v>472264.23716202675</v>
      </c>
      <c r="V170" s="333">
        <f t="shared" si="14"/>
        <v>128092.95019485819</v>
      </c>
      <c r="W170" s="177"/>
      <c r="X170" s="177"/>
      <c r="Y170" s="177"/>
      <c r="Z170" s="15"/>
    </row>
    <row r="171" spans="1:26" x14ac:dyDescent="0.25">
      <c r="A171" s="108">
        <f>Données!A171</f>
        <v>5701</v>
      </c>
      <c r="B171" s="116" t="str">
        <f>Données!B171</f>
        <v>Arnex-sur-Nyon</v>
      </c>
      <c r="C171" s="304">
        <f>Ressources!H171</f>
        <v>268088.14596388955</v>
      </c>
      <c r="D171" s="304">
        <f>Ressources!L171</f>
        <v>0</v>
      </c>
      <c r="E171" s="332">
        <f>Ressources!T171</f>
        <v>36711.710243408546</v>
      </c>
      <c r="F171" s="305">
        <f t="shared" si="10"/>
        <v>304799.85620729811</v>
      </c>
      <c r="G171" s="304">
        <f>'Besoins structurels'!I171</f>
        <v>-264</v>
      </c>
      <c r="H171" s="304">
        <f>'Besoins structurels'!N171</f>
        <v>0</v>
      </c>
      <c r="I171" s="304">
        <f>'Besoins structurels'!V171</f>
        <v>0</v>
      </c>
      <c r="J171" s="306">
        <f t="shared" si="11"/>
        <v>-264</v>
      </c>
      <c r="K171" s="304">
        <f>'Charges des villes'!N171</f>
        <v>128109.82893263956</v>
      </c>
      <c r="L171" s="304">
        <f>'Charges des villes'!U171</f>
        <v>27716.944289849689</v>
      </c>
      <c r="M171" s="299">
        <f t="shared" si="12"/>
        <v>155826.77322248925</v>
      </c>
      <c r="N171" s="305">
        <f>-VLOOKUP(A171,Paramètres!$B$23:$C$316,2,FALSE)*$N$5</f>
        <v>0</v>
      </c>
      <c r="O171" s="319"/>
      <c r="P171" s="598">
        <f t="shared" si="13"/>
        <v>460362.6294297874</v>
      </c>
      <c r="Q171" s="599"/>
      <c r="R171" s="599"/>
      <c r="S171" s="600"/>
      <c r="T171" s="305">
        <f>PCS!D171</f>
        <v>273148.53938668821</v>
      </c>
      <c r="U171" s="300">
        <f>Police!U171</f>
        <v>40841.063026917363</v>
      </c>
      <c r="V171" s="333">
        <f t="shared" si="14"/>
        <v>774352.23184339306</v>
      </c>
      <c r="W171" s="177"/>
      <c r="X171" s="177"/>
      <c r="Y171" s="177"/>
      <c r="Z171" s="15"/>
    </row>
    <row r="172" spans="1:26" x14ac:dyDescent="0.25">
      <c r="A172" s="108">
        <f>Données!A172</f>
        <v>5702</v>
      </c>
      <c r="B172" s="116" t="str">
        <f>Données!B172</f>
        <v>Arzier-Le Muids</v>
      </c>
      <c r="C172" s="304">
        <f>Ressources!H172</f>
        <v>1951654.5331184345</v>
      </c>
      <c r="D172" s="304">
        <f>Ressources!L172</f>
        <v>0</v>
      </c>
      <c r="E172" s="332">
        <f>Ressources!T172</f>
        <v>152189.88903278182</v>
      </c>
      <c r="F172" s="305">
        <f t="shared" si="10"/>
        <v>2103844.4221512163</v>
      </c>
      <c r="G172" s="304">
        <f>'Besoins structurels'!I172</f>
        <v>-311726</v>
      </c>
      <c r="H172" s="304">
        <f>'Besoins structurels'!N172</f>
        <v>-358393</v>
      </c>
      <c r="I172" s="304">
        <f>'Besoins structurels'!V172</f>
        <v>-40619</v>
      </c>
      <c r="J172" s="306">
        <f t="shared" si="11"/>
        <v>-710738</v>
      </c>
      <c r="K172" s="304">
        <f>'Charges des villes'!N172</f>
        <v>921278.11506149452</v>
      </c>
      <c r="L172" s="304">
        <f>'Charges des villes'!U172</f>
        <v>303369.03622357378</v>
      </c>
      <c r="M172" s="299">
        <f t="shared" si="12"/>
        <v>1224647.1512850684</v>
      </c>
      <c r="N172" s="305">
        <f>-VLOOKUP(A172,Paramètres!$B$23:$C$316,2,FALSE)*$N$5</f>
        <v>0</v>
      </c>
      <c r="O172" s="319"/>
      <c r="P172" s="598">
        <f t="shared" si="13"/>
        <v>2617753.5734362844</v>
      </c>
      <c r="Q172" s="599"/>
      <c r="R172" s="599"/>
      <c r="S172" s="600"/>
      <c r="T172" s="305">
        <f>PCS!D172</f>
        <v>2989680.5460608681</v>
      </c>
      <c r="U172" s="300">
        <f>Police!U172</f>
        <v>497166.67496019823</v>
      </c>
      <c r="V172" s="333">
        <f t="shared" si="14"/>
        <v>6104600.7944573499</v>
      </c>
      <c r="W172" s="177"/>
      <c r="X172" s="177"/>
      <c r="Y172" s="177"/>
      <c r="Z172" s="15"/>
    </row>
    <row r="173" spans="1:26" x14ac:dyDescent="0.25">
      <c r="A173" s="108">
        <f>Données!A173</f>
        <v>5703</v>
      </c>
      <c r="B173" s="116" t="str">
        <f>Données!B173</f>
        <v>Bassins</v>
      </c>
      <c r="C173" s="304">
        <f>Ressources!H173</f>
        <v>-299608.91001092939</v>
      </c>
      <c r="D173" s="304">
        <f>Ressources!L173</f>
        <v>0</v>
      </c>
      <c r="E173" s="332">
        <f>Ressources!T173</f>
        <v>-27823.622637504566</v>
      </c>
      <c r="F173" s="305">
        <f t="shared" si="10"/>
        <v>-327432.53264843393</v>
      </c>
      <c r="G173" s="304">
        <f>'Besoins structurels'!I173</f>
        <v>-104446</v>
      </c>
      <c r="H173" s="304">
        <f>'Besoins structurels'!N173</f>
        <v>-141940</v>
      </c>
      <c r="I173" s="304">
        <f>'Besoins structurels'!V173</f>
        <v>0</v>
      </c>
      <c r="J173" s="306">
        <f t="shared" si="11"/>
        <v>-246386</v>
      </c>
      <c r="K173" s="304">
        <f>'Charges des villes'!N173</f>
        <v>573778.64725508145</v>
      </c>
      <c r="L173" s="304">
        <f>'Charges des villes'!U173</f>
        <v>148498.08108576405</v>
      </c>
      <c r="M173" s="299">
        <f t="shared" si="12"/>
        <v>722276.72834084556</v>
      </c>
      <c r="N173" s="305">
        <f>-VLOOKUP(A173,Paramètres!$B$23:$C$316,2,FALSE)*$N$5</f>
        <v>0</v>
      </c>
      <c r="O173" s="319"/>
      <c r="P173" s="598">
        <f t="shared" si="13"/>
        <v>148458.19569241162</v>
      </c>
      <c r="Q173" s="599"/>
      <c r="R173" s="599"/>
      <c r="S173" s="600"/>
      <c r="T173" s="305">
        <f>PCS!D173</f>
        <v>1463438.15992576</v>
      </c>
      <c r="U173" s="300">
        <f>Police!U173</f>
        <v>230553.8618902638</v>
      </c>
      <c r="V173" s="333">
        <f t="shared" si="14"/>
        <v>1842450.2175084355</v>
      </c>
      <c r="W173" s="177"/>
      <c r="X173" s="177"/>
      <c r="Y173" s="177"/>
      <c r="Z173" s="15"/>
    </row>
    <row r="174" spans="1:26" x14ac:dyDescent="0.25">
      <c r="A174" s="108">
        <f>Données!A174</f>
        <v>5704</v>
      </c>
      <c r="B174" s="116" t="str">
        <f>Données!B174</f>
        <v>Begnins</v>
      </c>
      <c r="C174" s="304">
        <f>Ressources!H174</f>
        <v>3039132.8519928874</v>
      </c>
      <c r="D174" s="304">
        <f>Ressources!L174</f>
        <v>0</v>
      </c>
      <c r="E174" s="332">
        <f>Ressources!T174</f>
        <v>46397.310048384301</v>
      </c>
      <c r="F174" s="305">
        <f t="shared" si="10"/>
        <v>3085530.1620412716</v>
      </c>
      <c r="G174" s="304">
        <f>'Besoins structurels'!I174</f>
        <v>0</v>
      </c>
      <c r="H174" s="304">
        <f>'Besoins structurels'!N174</f>
        <v>0</v>
      </c>
      <c r="I174" s="304">
        <f>'Besoins structurels'!V174</f>
        <v>0</v>
      </c>
      <c r="J174" s="306">
        <f t="shared" si="11"/>
        <v>0</v>
      </c>
      <c r="K174" s="304">
        <f>'Charges des villes'!N174</f>
        <v>705197.45317272551</v>
      </c>
      <c r="L174" s="304">
        <f>'Charges des villes'!U174</f>
        <v>207067.82832599385</v>
      </c>
      <c r="M174" s="299">
        <f t="shared" si="12"/>
        <v>912265.28149871936</v>
      </c>
      <c r="N174" s="305">
        <f>-VLOOKUP(A174,Paramètres!$B$23:$C$316,2,FALSE)*$N$5</f>
        <v>0</v>
      </c>
      <c r="O174" s="319"/>
      <c r="P174" s="598">
        <f t="shared" si="13"/>
        <v>3997795.443539991</v>
      </c>
      <c r="Q174" s="599"/>
      <c r="R174" s="599"/>
      <c r="S174" s="600"/>
      <c r="T174" s="305">
        <f>PCS!D174</f>
        <v>2040638.9055640537</v>
      </c>
      <c r="U174" s="300">
        <f>Police!U174</f>
        <v>331382.61353460874</v>
      </c>
      <c r="V174" s="333">
        <f t="shared" si="14"/>
        <v>6369816.9626386538</v>
      </c>
      <c r="W174" s="177"/>
      <c r="X174" s="177"/>
      <c r="Y174" s="177"/>
      <c r="Z174" s="15"/>
    </row>
    <row r="175" spans="1:26" x14ac:dyDescent="0.25">
      <c r="A175" s="108">
        <f>Données!A175</f>
        <v>5705</v>
      </c>
      <c r="B175" s="116" t="str">
        <f>Données!B175</f>
        <v>Bogis-Bossey</v>
      </c>
      <c r="C175" s="304">
        <f>Ressources!H175</f>
        <v>589395.89188207954</v>
      </c>
      <c r="D175" s="304">
        <f>Ressources!L175</f>
        <v>0</v>
      </c>
      <c r="E175" s="332">
        <f>Ressources!T175</f>
        <v>82124.98817122489</v>
      </c>
      <c r="F175" s="305">
        <f t="shared" si="10"/>
        <v>671520.88005330437</v>
      </c>
      <c r="G175" s="304">
        <f>'Besoins structurels'!I175</f>
        <v>0</v>
      </c>
      <c r="H175" s="304">
        <f>'Besoins structurels'!N175</f>
        <v>0</v>
      </c>
      <c r="I175" s="304">
        <f>'Besoins structurels'!V175</f>
        <v>0</v>
      </c>
      <c r="J175" s="306">
        <f t="shared" si="11"/>
        <v>0</v>
      </c>
      <c r="K175" s="304">
        <f>'Charges des villes'!N175</f>
        <v>449319.50950462266</v>
      </c>
      <c r="L175" s="304">
        <f>'Charges des villes'!U175</f>
        <v>97211.618476443618</v>
      </c>
      <c r="M175" s="299">
        <f t="shared" si="12"/>
        <v>546531.12798106624</v>
      </c>
      <c r="N175" s="305">
        <f>-VLOOKUP(A175,Paramètres!$B$23:$C$316,2,FALSE)*$N$5</f>
        <v>0</v>
      </c>
      <c r="O175" s="319"/>
      <c r="P175" s="598">
        <f t="shared" si="13"/>
        <v>1218052.0080343706</v>
      </c>
      <c r="Q175" s="599"/>
      <c r="R175" s="599"/>
      <c r="S175" s="600"/>
      <c r="T175" s="305">
        <f>PCS!D175</f>
        <v>958013.67281243554</v>
      </c>
      <c r="U175" s="300">
        <f>Police!U175</f>
        <v>143241.83054331236</v>
      </c>
      <c r="V175" s="333">
        <f t="shared" si="14"/>
        <v>2319307.5113901184</v>
      </c>
      <c r="W175" s="177"/>
      <c r="X175" s="177"/>
      <c r="Y175" s="177"/>
      <c r="Z175" s="15"/>
    </row>
    <row r="176" spans="1:26" x14ac:dyDescent="0.25">
      <c r="A176" s="108">
        <f>Données!A176</f>
        <v>5706</v>
      </c>
      <c r="B176" s="116" t="str">
        <f>Données!B176</f>
        <v>Borex</v>
      </c>
      <c r="C176" s="304">
        <f>Ressources!H176</f>
        <v>1089319.2118669653</v>
      </c>
      <c r="D176" s="304">
        <f>Ressources!L176</f>
        <v>0</v>
      </c>
      <c r="E176" s="332">
        <f>Ressources!T176</f>
        <v>-136754.20553174749</v>
      </c>
      <c r="F176" s="305">
        <f t="shared" si="10"/>
        <v>952565.00633521774</v>
      </c>
      <c r="G176" s="304">
        <f>'Besoins structurels'!I176</f>
        <v>0</v>
      </c>
      <c r="H176" s="304">
        <f>'Besoins structurels'!N176</f>
        <v>0</v>
      </c>
      <c r="I176" s="304">
        <f>'Besoins structurels'!V176</f>
        <v>0</v>
      </c>
      <c r="J176" s="306">
        <f t="shared" si="11"/>
        <v>0</v>
      </c>
      <c r="K176" s="304">
        <f>'Charges des villes'!N176</f>
        <v>505686.00170189794</v>
      </c>
      <c r="L176" s="304">
        <f>'Charges des villes'!U176</f>
        <v>118151.06179030817</v>
      </c>
      <c r="M176" s="299">
        <f t="shared" si="12"/>
        <v>623837.06349220616</v>
      </c>
      <c r="N176" s="305">
        <f>-VLOOKUP(A176,Paramètres!$B$23:$C$316,2,FALSE)*$N$5</f>
        <v>0</v>
      </c>
      <c r="O176" s="319"/>
      <c r="P176" s="598">
        <f t="shared" si="13"/>
        <v>1576402.0698274239</v>
      </c>
      <c r="Q176" s="599"/>
      <c r="R176" s="599"/>
      <c r="S176" s="600"/>
      <c r="T176" s="305">
        <f>PCS!D176</f>
        <v>1164370.4160717218</v>
      </c>
      <c r="U176" s="300">
        <f>Police!U176</f>
        <v>178310.98539060322</v>
      </c>
      <c r="V176" s="333">
        <f t="shared" si="14"/>
        <v>2919083.4712897488</v>
      </c>
      <c r="W176" s="177"/>
      <c r="X176" s="177"/>
      <c r="Y176" s="177"/>
      <c r="Z176" s="15"/>
    </row>
    <row r="177" spans="1:26" x14ac:dyDescent="0.25">
      <c r="A177" s="108">
        <f>Données!A177</f>
        <v>5707</v>
      </c>
      <c r="B177" s="116" t="str">
        <f>Données!B177</f>
        <v>Chavannes-de-Bogis</v>
      </c>
      <c r="C177" s="304">
        <f>Ressources!H177</f>
        <v>679720.82220053859</v>
      </c>
      <c r="D177" s="304">
        <f>Ressources!L177</f>
        <v>0</v>
      </c>
      <c r="E177" s="332">
        <f>Ressources!T177</f>
        <v>312313.64142835897</v>
      </c>
      <c r="F177" s="305">
        <f t="shared" si="10"/>
        <v>992034.46362889756</v>
      </c>
      <c r="G177" s="304">
        <f>'Besoins structurels'!I177</f>
        <v>0</v>
      </c>
      <c r="H177" s="304">
        <f>'Besoins structurels'!N177</f>
        <v>0</v>
      </c>
      <c r="I177" s="304">
        <f>'Besoins structurels'!V177</f>
        <v>0</v>
      </c>
      <c r="J177" s="306">
        <f t="shared" si="11"/>
        <v>0</v>
      </c>
      <c r="K177" s="304">
        <f>'Charges des villes'!N177</f>
        <v>563564.75042210403</v>
      </c>
      <c r="L177" s="304">
        <f>'Charges des villes'!U177</f>
        <v>143946.02819144566</v>
      </c>
      <c r="M177" s="299">
        <f t="shared" si="12"/>
        <v>707510.77861354966</v>
      </c>
      <c r="N177" s="305">
        <f>-VLOOKUP(A177,Paramètres!$B$23:$C$316,2,FALSE)*$N$5</f>
        <v>0</v>
      </c>
      <c r="O177" s="319"/>
      <c r="P177" s="598">
        <f t="shared" si="13"/>
        <v>1699545.2422424471</v>
      </c>
      <c r="Q177" s="599"/>
      <c r="R177" s="599"/>
      <c r="S177" s="600"/>
      <c r="T177" s="305">
        <f>PCS!D177</f>
        <v>1418577.9983476545</v>
      </c>
      <c r="U177" s="300">
        <f>Police!U177</f>
        <v>222717.43041531474</v>
      </c>
      <c r="V177" s="333">
        <f t="shared" si="14"/>
        <v>3340840.6710054162</v>
      </c>
      <c r="W177" s="177"/>
      <c r="X177" s="177"/>
      <c r="Y177" s="177"/>
      <c r="Z177" s="15"/>
    </row>
    <row r="178" spans="1:26" x14ac:dyDescent="0.25">
      <c r="A178" s="108">
        <f>Données!A178</f>
        <v>5708</v>
      </c>
      <c r="B178" s="116" t="str">
        <f>Données!B178</f>
        <v>Chavannes-des-Bois</v>
      </c>
      <c r="C178" s="304">
        <f>Ressources!H178</f>
        <v>1065177.6548432491</v>
      </c>
      <c r="D178" s="304">
        <f>Ressources!L178</f>
        <v>0</v>
      </c>
      <c r="E178" s="332">
        <f>Ressources!T178</f>
        <v>-48257.123816530657</v>
      </c>
      <c r="F178" s="305">
        <f t="shared" si="10"/>
        <v>1016920.5310267184</v>
      </c>
      <c r="G178" s="304">
        <f>'Besoins structurels'!I178</f>
        <v>0</v>
      </c>
      <c r="H178" s="304">
        <f>'Besoins structurels'!N178</f>
        <v>0</v>
      </c>
      <c r="I178" s="304">
        <f>'Besoins structurels'!V178</f>
        <v>0</v>
      </c>
      <c r="J178" s="306">
        <f t="shared" si="11"/>
        <v>0</v>
      </c>
      <c r="K178" s="304">
        <f>'Charges des villes'!N178</f>
        <v>459605.70014884917</v>
      </c>
      <c r="L178" s="304">
        <f>'Charges des villes'!U178</f>
        <v>99437.066558110382</v>
      </c>
      <c r="M178" s="299">
        <f t="shared" si="12"/>
        <v>559042.76670695958</v>
      </c>
      <c r="N178" s="305">
        <f>-VLOOKUP(A178,Paramètres!$B$23:$C$316,2,FALSE)*$N$5</f>
        <v>0</v>
      </c>
      <c r="O178" s="319"/>
      <c r="P178" s="598">
        <f t="shared" si="13"/>
        <v>1575963.297733678</v>
      </c>
      <c r="Q178" s="599"/>
      <c r="R178" s="599"/>
      <c r="S178" s="600"/>
      <c r="T178" s="305">
        <f>PCS!D178</f>
        <v>979945.30736173177</v>
      </c>
      <c r="U178" s="300">
        <f>Police!U178</f>
        <v>146521.03998342983</v>
      </c>
      <c r="V178" s="333">
        <f t="shared" si="14"/>
        <v>2702429.6450788397</v>
      </c>
      <c r="W178" s="177"/>
      <c r="X178" s="177"/>
      <c r="Y178" s="177"/>
      <c r="Z178" s="15"/>
    </row>
    <row r="179" spans="1:26" x14ac:dyDescent="0.25">
      <c r="A179" s="108">
        <f>Données!A179</f>
        <v>5709</v>
      </c>
      <c r="B179" s="116" t="str">
        <f>Données!B179</f>
        <v>Chéserex</v>
      </c>
      <c r="C179" s="304">
        <f>Ressources!H179</f>
        <v>3073200.9107385478</v>
      </c>
      <c r="D179" s="304">
        <f>Ressources!L179</f>
        <v>0</v>
      </c>
      <c r="E179" s="332">
        <f>Ressources!T179</f>
        <v>-74289.17492840995</v>
      </c>
      <c r="F179" s="305">
        <f t="shared" si="10"/>
        <v>2998911.7358101378</v>
      </c>
      <c r="G179" s="304">
        <f>'Besoins structurels'!I179</f>
        <v>-9500</v>
      </c>
      <c r="H179" s="304">
        <f>'Besoins structurels'!N179</f>
        <v>0</v>
      </c>
      <c r="I179" s="304">
        <f>'Besoins structurels'!V179</f>
        <v>0</v>
      </c>
      <c r="J179" s="306">
        <f t="shared" si="11"/>
        <v>-9500</v>
      </c>
      <c r="K179" s="304">
        <f>'Charges des villes'!N179</f>
        <v>529291.45216033491</v>
      </c>
      <c r="L179" s="304">
        <f>'Charges des villes'!U179</f>
        <v>128671.36181273287</v>
      </c>
      <c r="M179" s="299">
        <f t="shared" si="12"/>
        <v>657962.81397306779</v>
      </c>
      <c r="N179" s="305">
        <f>-VLOOKUP(A179,Paramètres!$B$23:$C$316,2,FALSE)*$N$5</f>
        <v>0</v>
      </c>
      <c r="O179" s="319"/>
      <c r="P179" s="598">
        <f t="shared" si="13"/>
        <v>3647374.5497832056</v>
      </c>
      <c r="Q179" s="599"/>
      <c r="R179" s="599"/>
      <c r="S179" s="600"/>
      <c r="T179" s="305">
        <f>PCS!D179</f>
        <v>1268047.2339411217</v>
      </c>
      <c r="U179" s="300">
        <f>Police!U179</f>
        <v>196421.8492438189</v>
      </c>
      <c r="V179" s="333">
        <f t="shared" si="14"/>
        <v>5111843.6329681464</v>
      </c>
      <c r="W179" s="177"/>
      <c r="X179" s="177"/>
      <c r="Y179" s="177"/>
      <c r="Z179" s="15"/>
    </row>
    <row r="180" spans="1:26" x14ac:dyDescent="0.25">
      <c r="A180" s="108">
        <f>Données!A180</f>
        <v>5710</v>
      </c>
      <c r="B180" s="116" t="str">
        <f>Données!B180</f>
        <v>Coinsins</v>
      </c>
      <c r="C180" s="304">
        <f>Ressources!H180</f>
        <v>116926.06251135695</v>
      </c>
      <c r="D180" s="304">
        <f>Ressources!L180</f>
        <v>0</v>
      </c>
      <c r="E180" s="332">
        <f>Ressources!T180</f>
        <v>635.17892021298758</v>
      </c>
      <c r="F180" s="305">
        <f t="shared" si="10"/>
        <v>117561.24143156994</v>
      </c>
      <c r="G180" s="304">
        <f>'Besoins structurels'!I180</f>
        <v>0</v>
      </c>
      <c r="H180" s="304">
        <f>'Besoins structurels'!N180</f>
        <v>0</v>
      </c>
      <c r="I180" s="304">
        <f>'Besoins structurels'!V180</f>
        <v>0</v>
      </c>
      <c r="J180" s="306">
        <f t="shared" si="11"/>
        <v>0</v>
      </c>
      <c r="K180" s="304">
        <f>'Charges des villes'!N180</f>
        <v>238452.60129797875</v>
      </c>
      <c r="L180" s="304">
        <f>'Charges des villes'!U180</f>
        <v>51589.932802274969</v>
      </c>
      <c r="M180" s="299">
        <f t="shared" si="12"/>
        <v>290042.53410025372</v>
      </c>
      <c r="N180" s="305">
        <f>-VLOOKUP(A180,Paramètres!$B$23:$C$316,2,FALSE)*$N$5</f>
        <v>0</v>
      </c>
      <c r="O180" s="319"/>
      <c r="P180" s="598">
        <f t="shared" si="13"/>
        <v>407603.77553182363</v>
      </c>
      <c r="Q180" s="599"/>
      <c r="R180" s="599"/>
      <c r="S180" s="600"/>
      <c r="T180" s="305">
        <f>PCS!D180</f>
        <v>508415.1645518649</v>
      </c>
      <c r="U180" s="300">
        <f>Police!U180</f>
        <v>76018.037020904594</v>
      </c>
      <c r="V180" s="333">
        <f t="shared" si="14"/>
        <v>992036.97710459318</v>
      </c>
      <c r="W180" s="177"/>
      <c r="X180" s="177"/>
      <c r="Y180" s="177"/>
      <c r="Z180" s="15"/>
    </row>
    <row r="181" spans="1:26" x14ac:dyDescent="0.25">
      <c r="A181" s="108">
        <f>Données!A181</f>
        <v>5711</v>
      </c>
      <c r="B181" s="116" t="str">
        <f>Données!B181</f>
        <v>Commugny</v>
      </c>
      <c r="C181" s="304">
        <f>Ressources!H181</f>
        <v>8275580.0951942112</v>
      </c>
      <c r="D181" s="304">
        <f>Ressources!L181</f>
        <v>0</v>
      </c>
      <c r="E181" s="332">
        <f>Ressources!T181</f>
        <v>201719.01683371013</v>
      </c>
      <c r="F181" s="305">
        <f t="shared" si="10"/>
        <v>8477299.1120279208</v>
      </c>
      <c r="G181" s="304">
        <f>'Besoins structurels'!I181</f>
        <v>0</v>
      </c>
      <c r="H181" s="304">
        <f>'Besoins structurels'!N181</f>
        <v>0</v>
      </c>
      <c r="I181" s="304">
        <f>'Besoins structurels'!V181</f>
        <v>0</v>
      </c>
      <c r="J181" s="306">
        <f t="shared" si="11"/>
        <v>0</v>
      </c>
      <c r="K181" s="304">
        <f>'Charges des villes'!N181</f>
        <v>914241.87502099888</v>
      </c>
      <c r="L181" s="304">
        <f>'Charges des villes'!U181</f>
        <v>300233.17756304337</v>
      </c>
      <c r="M181" s="299">
        <f t="shared" si="12"/>
        <v>1214475.0525840423</v>
      </c>
      <c r="N181" s="305">
        <f>-VLOOKUP(A181,Paramètres!$B$23:$C$316,2,FALSE)*$N$5</f>
        <v>0</v>
      </c>
      <c r="O181" s="319"/>
      <c r="P181" s="598">
        <f t="shared" si="13"/>
        <v>9691774.1646119636</v>
      </c>
      <c r="Q181" s="599"/>
      <c r="R181" s="599"/>
      <c r="S181" s="600"/>
      <c r="T181" s="305">
        <f>PCS!D181</f>
        <v>2958776.8791959509</v>
      </c>
      <c r="U181" s="300">
        <f>Police!U181</f>
        <v>491768.2443885667</v>
      </c>
      <c r="V181" s="333">
        <f t="shared" si="14"/>
        <v>13142319.288196482</v>
      </c>
      <c r="W181" s="177"/>
      <c r="X181" s="177"/>
      <c r="Y181" s="177"/>
      <c r="Z181" s="15"/>
    </row>
    <row r="182" spans="1:26" x14ac:dyDescent="0.25">
      <c r="A182" s="108">
        <f>Données!A182</f>
        <v>5712</v>
      </c>
      <c r="B182" s="116" t="str">
        <f>Données!B182</f>
        <v>Coppet</v>
      </c>
      <c r="C182" s="304">
        <f>Ressources!H182</f>
        <v>15017434.104343751</v>
      </c>
      <c r="D182" s="304">
        <f>Ressources!L182</f>
        <v>0</v>
      </c>
      <c r="E182" s="332">
        <f>Ressources!T182</f>
        <v>1067242.3478902909</v>
      </c>
      <c r="F182" s="305">
        <f t="shared" si="10"/>
        <v>16084676.452234043</v>
      </c>
      <c r="G182" s="304">
        <f>'Besoins structurels'!I182</f>
        <v>0</v>
      </c>
      <c r="H182" s="304">
        <f>'Besoins structurels'!N182</f>
        <v>-42</v>
      </c>
      <c r="I182" s="304">
        <f>'Besoins structurels'!V182</f>
        <v>0</v>
      </c>
      <c r="J182" s="306">
        <f t="shared" si="11"/>
        <v>-42</v>
      </c>
      <c r="K182" s="304">
        <f>'Charges des villes'!N182</f>
        <v>905878.92953264154</v>
      </c>
      <c r="L182" s="304">
        <f>'Charges des villes'!U182</f>
        <v>327039.7112740294</v>
      </c>
      <c r="M182" s="299">
        <f t="shared" si="12"/>
        <v>1232918.640806671</v>
      </c>
      <c r="N182" s="305">
        <f>-VLOOKUP(A182,Paramètres!$B$23:$C$316,2,FALSE)*$N$5</f>
        <v>0</v>
      </c>
      <c r="O182" s="319"/>
      <c r="P182" s="598">
        <f t="shared" si="13"/>
        <v>17317553.093040712</v>
      </c>
      <c r="Q182" s="599"/>
      <c r="R182" s="599"/>
      <c r="S182" s="600"/>
      <c r="T182" s="305">
        <f>PCS!D182</f>
        <v>3222953.386267018</v>
      </c>
      <c r="U182" s="300">
        <f>Police!U182</f>
        <v>540838.86446880095</v>
      </c>
      <c r="V182" s="333">
        <f t="shared" si="14"/>
        <v>21081345.343776532</v>
      </c>
      <c r="W182" s="177"/>
      <c r="X182" s="177"/>
      <c r="Y182" s="177"/>
      <c r="Z182" s="15"/>
    </row>
    <row r="183" spans="1:26" x14ac:dyDescent="0.25">
      <c r="A183" s="108">
        <f>Données!A183</f>
        <v>5713</v>
      </c>
      <c r="B183" s="116" t="str">
        <f>Données!B183</f>
        <v>Crans</v>
      </c>
      <c r="C183" s="304">
        <f>Ressources!H183</f>
        <v>9457021.518425677</v>
      </c>
      <c r="D183" s="304">
        <f>Ressources!L183</f>
        <v>0</v>
      </c>
      <c r="E183" s="332">
        <f>Ressources!T183</f>
        <v>283664.69065468415</v>
      </c>
      <c r="F183" s="305">
        <f t="shared" si="10"/>
        <v>9740686.2090803608</v>
      </c>
      <c r="G183" s="304">
        <f>'Besoins structurels'!I183</f>
        <v>0</v>
      </c>
      <c r="H183" s="304">
        <f>'Besoins structurels'!N183</f>
        <v>0</v>
      </c>
      <c r="I183" s="304">
        <f>'Besoins structurels'!V183</f>
        <v>0</v>
      </c>
      <c r="J183" s="306">
        <f t="shared" si="11"/>
        <v>0</v>
      </c>
      <c r="K183" s="304">
        <f>'Charges des villes'!N183</f>
        <v>804158.76471001888</v>
      </c>
      <c r="L183" s="304">
        <f>'Charges des villes'!U183</f>
        <v>251172.16303538971</v>
      </c>
      <c r="M183" s="299">
        <f t="shared" si="12"/>
        <v>1055330.9277454086</v>
      </c>
      <c r="N183" s="305">
        <f>-VLOOKUP(A183,Paramètres!$B$23:$C$316,2,FALSE)*$N$5</f>
        <v>0</v>
      </c>
      <c r="O183" s="319"/>
      <c r="P183" s="598">
        <f t="shared" si="13"/>
        <v>10796017.13682577</v>
      </c>
      <c r="Q183" s="599"/>
      <c r="R183" s="599"/>
      <c r="S183" s="600"/>
      <c r="T183" s="305">
        <f>PCS!D183</f>
        <v>2475284.0266319225</v>
      </c>
      <c r="U183" s="300">
        <f>Police!U183</f>
        <v>76941.666643447432</v>
      </c>
      <c r="V183" s="333">
        <f t="shared" si="14"/>
        <v>13348242.83010114</v>
      </c>
      <c r="W183" s="177"/>
      <c r="X183" s="177"/>
      <c r="Y183" s="177"/>
      <c r="Z183" s="15"/>
    </row>
    <row r="184" spans="1:26" x14ac:dyDescent="0.25">
      <c r="A184" s="108">
        <f>Données!A184</f>
        <v>5714</v>
      </c>
      <c r="B184" s="116" t="str">
        <f>Données!B184</f>
        <v>Crassier</v>
      </c>
      <c r="C184" s="304">
        <f>Ressources!H184</f>
        <v>153913.52346169404</v>
      </c>
      <c r="D184" s="304">
        <f>Ressources!L184</f>
        <v>0</v>
      </c>
      <c r="E184" s="332">
        <f>Ressources!T184</f>
        <v>-77999.809928409959</v>
      </c>
      <c r="F184" s="305">
        <f t="shared" si="10"/>
        <v>75913.713533284084</v>
      </c>
      <c r="G184" s="304">
        <f>'Besoins structurels'!I184</f>
        <v>0</v>
      </c>
      <c r="H184" s="304">
        <f>'Besoins structurels'!N184</f>
        <v>0</v>
      </c>
      <c r="I184" s="304">
        <f>'Besoins structurels'!V184</f>
        <v>0</v>
      </c>
      <c r="J184" s="306">
        <f t="shared" si="11"/>
        <v>0</v>
      </c>
      <c r="K184" s="304">
        <f>'Charges des villes'!N184</f>
        <v>529291.45216033491</v>
      </c>
      <c r="L184" s="304">
        <f>'Charges des villes'!U184</f>
        <v>128671.36181273287</v>
      </c>
      <c r="M184" s="299">
        <f t="shared" si="12"/>
        <v>657962.81397306779</v>
      </c>
      <c r="N184" s="305">
        <f>-VLOOKUP(A184,Paramètres!$B$23:$C$316,2,FALSE)*$N$5</f>
        <v>0</v>
      </c>
      <c r="O184" s="319"/>
      <c r="P184" s="598">
        <f t="shared" si="13"/>
        <v>733876.52750635194</v>
      </c>
      <c r="Q184" s="599"/>
      <c r="R184" s="599"/>
      <c r="S184" s="600"/>
      <c r="T184" s="305">
        <f>PCS!D184</f>
        <v>1268047.2339411217</v>
      </c>
      <c r="U184" s="300">
        <f>Police!U184</f>
        <v>196421.8492438189</v>
      </c>
      <c r="V184" s="333">
        <f t="shared" si="14"/>
        <v>2198345.6106912927</v>
      </c>
      <c r="W184" s="177"/>
      <c r="X184" s="177"/>
      <c r="Y184" s="177"/>
      <c r="Z184" s="15"/>
    </row>
    <row r="185" spans="1:26" x14ac:dyDescent="0.25">
      <c r="A185" s="108">
        <f>Données!A185</f>
        <v>5715</v>
      </c>
      <c r="B185" s="116" t="str">
        <f>Données!B185</f>
        <v>Duillier</v>
      </c>
      <c r="C185" s="304">
        <f>Ressources!H185</f>
        <v>1324326.9902976947</v>
      </c>
      <c r="D185" s="304">
        <f>Ressources!L185</f>
        <v>0</v>
      </c>
      <c r="E185" s="332">
        <f>Ressources!T185</f>
        <v>230560.17880517367</v>
      </c>
      <c r="F185" s="305">
        <f t="shared" si="10"/>
        <v>1554887.1691028683</v>
      </c>
      <c r="G185" s="304">
        <f>'Besoins structurels'!I185</f>
        <v>0</v>
      </c>
      <c r="H185" s="304">
        <f>'Besoins structurels'!N185</f>
        <v>0</v>
      </c>
      <c r="I185" s="304">
        <f>'Besoins structurels'!V185</f>
        <v>0</v>
      </c>
      <c r="J185" s="306">
        <f t="shared" si="11"/>
        <v>0</v>
      </c>
      <c r="K185" s="304">
        <f>'Charges des villes'!N185</f>
        <v>494791.17841338861</v>
      </c>
      <c r="L185" s="304">
        <f>'Charges des villes'!U185</f>
        <v>113295.53870303523</v>
      </c>
      <c r="M185" s="299">
        <f t="shared" si="12"/>
        <v>608086.71711642388</v>
      </c>
      <c r="N185" s="305">
        <f>-VLOOKUP(A185,Paramètres!$B$23:$C$316,2,FALSE)*$N$5</f>
        <v>0</v>
      </c>
      <c r="O185" s="319"/>
      <c r="P185" s="598">
        <f t="shared" si="13"/>
        <v>2162973.8862192919</v>
      </c>
      <c r="Q185" s="599"/>
      <c r="R185" s="599"/>
      <c r="S185" s="600"/>
      <c r="T185" s="305">
        <f>PCS!D185</f>
        <v>1116519.5770550759</v>
      </c>
      <c r="U185" s="300">
        <f>Police!U185</f>
        <v>169952.12515065755</v>
      </c>
      <c r="V185" s="333">
        <f t="shared" si="14"/>
        <v>3449445.5884250258</v>
      </c>
      <c r="W185" s="177"/>
      <c r="X185" s="177"/>
      <c r="Y185" s="177"/>
      <c r="Z185" s="15"/>
    </row>
    <row r="186" spans="1:26" x14ac:dyDescent="0.25">
      <c r="A186" s="108">
        <f>Données!A186</f>
        <v>5716</v>
      </c>
      <c r="B186" s="116" t="str">
        <f>Données!B186</f>
        <v>Eysins</v>
      </c>
      <c r="C186" s="304">
        <f>Ressources!H186</f>
        <v>15418223.76739995</v>
      </c>
      <c r="D186" s="304">
        <f>Ressources!L186</f>
        <v>0</v>
      </c>
      <c r="E186" s="332">
        <f>Ressources!T186</f>
        <v>15435.716371579911</v>
      </c>
      <c r="F186" s="305">
        <f t="shared" si="10"/>
        <v>15433659.483771529</v>
      </c>
      <c r="G186" s="304">
        <f>'Besoins structurels'!I186</f>
        <v>0</v>
      </c>
      <c r="H186" s="304">
        <f>'Besoins structurels'!N186</f>
        <v>0</v>
      </c>
      <c r="I186" s="304">
        <f>'Besoins structurels'!V186</f>
        <v>0</v>
      </c>
      <c r="J186" s="306">
        <f t="shared" si="11"/>
        <v>0</v>
      </c>
      <c r="K186" s="304">
        <f>'Charges des villes'!N186</f>
        <v>651631.23867088801</v>
      </c>
      <c r="L186" s="304">
        <f>'Charges des villes'!U186</f>
        <v>183194.83981356857</v>
      </c>
      <c r="M186" s="299">
        <f t="shared" si="12"/>
        <v>834826.07848445652</v>
      </c>
      <c r="N186" s="305">
        <f>-VLOOKUP(A186,Paramètres!$B$23:$C$316,2,FALSE)*$N$5</f>
        <v>0</v>
      </c>
      <c r="O186" s="319"/>
      <c r="P186" s="598">
        <f t="shared" si="13"/>
        <v>16268485.562255986</v>
      </c>
      <c r="Q186" s="599"/>
      <c r="R186" s="599"/>
      <c r="S186" s="600"/>
      <c r="T186" s="305">
        <f>PCS!D186</f>
        <v>1805372.2803988771</v>
      </c>
      <c r="U186" s="300">
        <f>Police!U186</f>
        <v>290284.88402154238</v>
      </c>
      <c r="V186" s="333">
        <f t="shared" si="14"/>
        <v>18364142.726676404</v>
      </c>
      <c r="W186" s="177"/>
      <c r="X186" s="177"/>
      <c r="Y186" s="177"/>
      <c r="Z186" s="15"/>
    </row>
    <row r="187" spans="1:26" x14ac:dyDescent="0.25">
      <c r="A187" s="108">
        <f>Données!A187</f>
        <v>5717</v>
      </c>
      <c r="B187" s="116" t="str">
        <f>Données!B187</f>
        <v>Founex</v>
      </c>
      <c r="C187" s="304">
        <f>Ressources!H187</f>
        <v>12208035.077859454</v>
      </c>
      <c r="D187" s="304">
        <f>Ressources!L187</f>
        <v>0</v>
      </c>
      <c r="E187" s="332">
        <f>Ressources!T187</f>
        <v>483859.07735261961</v>
      </c>
      <c r="F187" s="305">
        <f t="shared" si="10"/>
        <v>12691894.155212073</v>
      </c>
      <c r="G187" s="304">
        <f>'Besoins structurels'!I187</f>
        <v>0</v>
      </c>
      <c r="H187" s="304">
        <f>'Besoins structurels'!N187</f>
        <v>0</v>
      </c>
      <c r="I187" s="304">
        <f>'Besoins structurels'!V187</f>
        <v>0</v>
      </c>
      <c r="J187" s="306">
        <f t="shared" si="11"/>
        <v>0</v>
      </c>
      <c r="K187" s="304">
        <f>'Charges des villes'!N187</f>
        <v>872078.13489285065</v>
      </c>
      <c r="L187" s="304">
        <f>'Charges des villes'!U187</f>
        <v>378022.70369039522</v>
      </c>
      <c r="M187" s="299">
        <f t="shared" si="12"/>
        <v>1250100.8385832459</v>
      </c>
      <c r="N187" s="305">
        <f>-VLOOKUP(A187,Paramètres!$B$23:$C$316,2,FALSE)*$N$5</f>
        <v>0</v>
      </c>
      <c r="O187" s="319"/>
      <c r="P187" s="598">
        <f t="shared" si="13"/>
        <v>13941994.993795319</v>
      </c>
      <c r="Q187" s="599"/>
      <c r="R187" s="599"/>
      <c r="S187" s="600"/>
      <c r="T187" s="305">
        <f>PCS!D187</f>
        <v>3725387.1959418021</v>
      </c>
      <c r="U187" s="300">
        <f>Police!U187</f>
        <v>634929.05966114567</v>
      </c>
      <c r="V187" s="333">
        <f t="shared" si="14"/>
        <v>18302311.249398265</v>
      </c>
      <c r="W187" s="177"/>
      <c r="X187" s="177"/>
      <c r="Y187" s="177"/>
      <c r="Z187" s="15"/>
    </row>
    <row r="188" spans="1:26" x14ac:dyDescent="0.25">
      <c r="A188" s="108">
        <f>Données!A188</f>
        <v>5718</v>
      </c>
      <c r="B188" s="116" t="str">
        <f>Données!B188</f>
        <v>Genolier</v>
      </c>
      <c r="C188" s="304">
        <f>Ressources!H188</f>
        <v>6106521.2955925157</v>
      </c>
      <c r="D188" s="304">
        <f>Ressources!L188</f>
        <v>0</v>
      </c>
      <c r="E188" s="332">
        <f>Ressources!T188</f>
        <v>227451.16787992377</v>
      </c>
      <c r="F188" s="305">
        <f t="shared" si="10"/>
        <v>6333972.4634724399</v>
      </c>
      <c r="G188" s="304">
        <f>'Besoins structurels'!I188</f>
        <v>0</v>
      </c>
      <c r="H188" s="304">
        <f>'Besoins structurels'!N188</f>
        <v>0</v>
      </c>
      <c r="I188" s="304">
        <f>'Besoins structurels'!V188</f>
        <v>0</v>
      </c>
      <c r="J188" s="306">
        <f t="shared" si="11"/>
        <v>0</v>
      </c>
      <c r="K188" s="304">
        <f>'Charges des villes'!N188</f>
        <v>710644.86481698044</v>
      </c>
      <c r="L188" s="304">
        <f>'Charges des villes'!U188</f>
        <v>209495.58986963032</v>
      </c>
      <c r="M188" s="299">
        <f t="shared" si="12"/>
        <v>920140.45468661073</v>
      </c>
      <c r="N188" s="305">
        <f>-VLOOKUP(A188,Paramètres!$B$23:$C$316,2,FALSE)*$N$5</f>
        <v>0</v>
      </c>
      <c r="O188" s="319"/>
      <c r="P188" s="598">
        <f t="shared" si="13"/>
        <v>7254112.9181590509</v>
      </c>
      <c r="Q188" s="599"/>
      <c r="R188" s="599"/>
      <c r="S188" s="600"/>
      <c r="T188" s="305">
        <f>PCS!D188</f>
        <v>2064564.3250723768</v>
      </c>
      <c r="U188" s="300">
        <f>Police!U188</f>
        <v>335562.04365458153</v>
      </c>
      <c r="V188" s="333">
        <f t="shared" si="14"/>
        <v>9654239.2868860085</v>
      </c>
      <c r="W188" s="177"/>
      <c r="X188" s="177"/>
      <c r="Y188" s="177"/>
      <c r="Z188" s="15"/>
    </row>
    <row r="189" spans="1:26" x14ac:dyDescent="0.25">
      <c r="A189" s="108">
        <f>Données!A189</f>
        <v>5719</v>
      </c>
      <c r="B189" s="116" t="str">
        <f>Données!B189</f>
        <v>Gingins</v>
      </c>
      <c r="C189" s="304">
        <f>Ressources!H189</f>
        <v>5403909.1939165965</v>
      </c>
      <c r="D189" s="304">
        <f>Ressources!L189</f>
        <v>0</v>
      </c>
      <c r="E189" s="332">
        <f>Ressources!T189</f>
        <v>-27160.702127481694</v>
      </c>
      <c r="F189" s="305">
        <f t="shared" si="10"/>
        <v>5376748.4917891147</v>
      </c>
      <c r="G189" s="304">
        <f>'Besoins structurels'!I189</f>
        <v>-34013</v>
      </c>
      <c r="H189" s="304">
        <f>'Besoins structurels'!N189</f>
        <v>-375</v>
      </c>
      <c r="I189" s="304">
        <f>'Besoins structurels'!V189</f>
        <v>0</v>
      </c>
      <c r="J189" s="306">
        <f t="shared" si="11"/>
        <v>-34388</v>
      </c>
      <c r="K189" s="304">
        <f>'Charges des villes'!N189</f>
        <v>522255.21211983927</v>
      </c>
      <c r="L189" s="304">
        <f>'Charges des villes'!U189</f>
        <v>125535.50315220244</v>
      </c>
      <c r="M189" s="299">
        <f t="shared" si="12"/>
        <v>647790.71527204174</v>
      </c>
      <c r="N189" s="305">
        <f>-VLOOKUP(A189,Paramètres!$B$23:$C$316,2,FALSE)*$N$5</f>
        <v>0</v>
      </c>
      <c r="O189" s="319"/>
      <c r="P189" s="598">
        <f t="shared" si="13"/>
        <v>5990151.2070611566</v>
      </c>
      <c r="Q189" s="599"/>
      <c r="R189" s="599"/>
      <c r="S189" s="600"/>
      <c r="T189" s="305">
        <f>PCS!D189</f>
        <v>1237143.5670762046</v>
      </c>
      <c r="U189" s="300">
        <f>Police!U189</f>
        <v>191023.41867218731</v>
      </c>
      <c r="V189" s="333">
        <f t="shared" si="14"/>
        <v>7418318.1928095482</v>
      </c>
      <c r="W189" s="177"/>
      <c r="X189" s="177"/>
      <c r="Y189" s="177"/>
      <c r="Z189" s="15"/>
    </row>
    <row r="190" spans="1:26" x14ac:dyDescent="0.25">
      <c r="A190" s="108">
        <f>Données!A190</f>
        <v>5720</v>
      </c>
      <c r="B190" s="116" t="str">
        <f>Données!B190</f>
        <v>Givrins</v>
      </c>
      <c r="C190" s="304">
        <f>Ressources!H190</f>
        <v>1109312.9810090943</v>
      </c>
      <c r="D190" s="304">
        <f>Ressources!L190</f>
        <v>0</v>
      </c>
      <c r="E190" s="332">
        <f>Ressources!T190</f>
        <v>-40101.279026365781</v>
      </c>
      <c r="F190" s="305">
        <f t="shared" si="10"/>
        <v>1069211.7019827284</v>
      </c>
      <c r="G190" s="304">
        <f>'Besoins structurels'!I190</f>
        <v>0</v>
      </c>
      <c r="H190" s="304">
        <f>'Besoins structurels'!N190</f>
        <v>0</v>
      </c>
      <c r="I190" s="304">
        <f>'Besoins structurels'!V190</f>
        <v>0</v>
      </c>
      <c r="J190" s="306">
        <f t="shared" si="11"/>
        <v>0</v>
      </c>
      <c r="K190" s="304">
        <f>'Charges des villes'!N190</f>
        <v>489343.76676913397</v>
      </c>
      <c r="L190" s="304">
        <f>'Charges des villes'!U190</f>
        <v>110867.77715939876</v>
      </c>
      <c r="M190" s="299">
        <f t="shared" si="12"/>
        <v>600211.54392853274</v>
      </c>
      <c r="N190" s="305">
        <f>-VLOOKUP(A190,Paramètres!$B$23:$C$316,2,FALSE)*$N$5</f>
        <v>0</v>
      </c>
      <c r="O190" s="319"/>
      <c r="P190" s="598">
        <f t="shared" si="13"/>
        <v>1669423.2459112611</v>
      </c>
      <c r="Q190" s="599"/>
      <c r="R190" s="599"/>
      <c r="S190" s="600"/>
      <c r="T190" s="305">
        <f>PCS!D190</f>
        <v>1092594.1575467528</v>
      </c>
      <c r="U190" s="300">
        <f>Police!U190</f>
        <v>165772.6950306847</v>
      </c>
      <c r="V190" s="333">
        <f t="shared" si="14"/>
        <v>2927790.0984886987</v>
      </c>
      <c r="W190" s="177"/>
      <c r="X190" s="177"/>
      <c r="Y190" s="177"/>
      <c r="Z190" s="15"/>
    </row>
    <row r="191" spans="1:26" x14ac:dyDescent="0.25">
      <c r="A191" s="108">
        <f>Données!A191</f>
        <v>5721</v>
      </c>
      <c r="B191" s="116" t="str">
        <f>Données!B191</f>
        <v>Gland</v>
      </c>
      <c r="C191" s="304">
        <f>Ressources!H191</f>
        <v>5274632.4186578942</v>
      </c>
      <c r="D191" s="304">
        <f>Ressources!L191</f>
        <v>0</v>
      </c>
      <c r="E191" s="332">
        <f>Ressources!T191</f>
        <v>191410.60705242585</v>
      </c>
      <c r="F191" s="305">
        <f t="shared" si="10"/>
        <v>5466043.0257103201</v>
      </c>
      <c r="G191" s="304">
        <f>'Besoins structurels'!I191</f>
        <v>0</v>
      </c>
      <c r="H191" s="304">
        <f>'Besoins structurels'!N191</f>
        <v>0</v>
      </c>
      <c r="I191" s="304">
        <f>'Besoins structurels'!V191</f>
        <v>0</v>
      </c>
      <c r="J191" s="306">
        <f t="shared" si="11"/>
        <v>0</v>
      </c>
      <c r="K191" s="304">
        <f>'Charges des villes'!N191</f>
        <v>-607842.80073404126</v>
      </c>
      <c r="L191" s="304">
        <f>'Charges des villes'!U191</f>
        <v>1104619.0757062736</v>
      </c>
      <c r="M191" s="299">
        <f t="shared" si="12"/>
        <v>496776.27497223229</v>
      </c>
      <c r="N191" s="305">
        <f>-VLOOKUP(A191,Paramètres!$B$23:$C$316,2,FALSE)*$N$5</f>
        <v>0</v>
      </c>
      <c r="O191" s="319"/>
      <c r="P191" s="598">
        <f t="shared" si="13"/>
        <v>5962819.3006825522</v>
      </c>
      <c r="Q191" s="599"/>
      <c r="R191" s="599"/>
      <c r="S191" s="600"/>
      <c r="T191" s="305">
        <f>PCS!D191</f>
        <v>13934563.078639152</v>
      </c>
      <c r="U191" s="300">
        <f>Police!U191</f>
        <v>2709033.3076299643</v>
      </c>
      <c r="V191" s="333">
        <f t="shared" si="14"/>
        <v>22606415.686951667</v>
      </c>
      <c r="W191" s="177"/>
      <c r="X191" s="177"/>
      <c r="Y191" s="177"/>
      <c r="Z191" s="15"/>
    </row>
    <row r="192" spans="1:26" x14ac:dyDescent="0.25">
      <c r="A192" s="108">
        <f>Données!A192</f>
        <v>5722</v>
      </c>
      <c r="B192" s="116" t="str">
        <f>Données!B192</f>
        <v>Grens</v>
      </c>
      <c r="C192" s="304">
        <f>Ressources!H192</f>
        <v>258397.96697896512</v>
      </c>
      <c r="D192" s="304">
        <f>Ressources!L192</f>
        <v>0</v>
      </c>
      <c r="E192" s="332">
        <f>Ressources!T192</f>
        <v>384899.82268440776</v>
      </c>
      <c r="F192" s="305">
        <f t="shared" si="10"/>
        <v>643297.78966337291</v>
      </c>
      <c r="G192" s="304">
        <f>'Besoins structurels'!I192</f>
        <v>0</v>
      </c>
      <c r="H192" s="304">
        <f>'Besoins structurels'!N192</f>
        <v>0</v>
      </c>
      <c r="I192" s="304">
        <f>'Besoins structurels'!V192</f>
        <v>0</v>
      </c>
      <c r="J192" s="306">
        <f t="shared" si="11"/>
        <v>0</v>
      </c>
      <c r="K192" s="304">
        <f>'Charges des villes'!N192</f>
        <v>193099.85163934357</v>
      </c>
      <c r="L192" s="304">
        <f>'Charges des villes'!U192</f>
        <v>41777.72989674424</v>
      </c>
      <c r="M192" s="299">
        <f t="shared" si="12"/>
        <v>234877.58153608782</v>
      </c>
      <c r="N192" s="305">
        <f>-VLOOKUP(A192,Paramètres!$B$23:$C$316,2,FALSE)*$N$5</f>
        <v>0</v>
      </c>
      <c r="O192" s="319"/>
      <c r="P192" s="598">
        <f t="shared" si="13"/>
        <v>878175.3711994607</v>
      </c>
      <c r="Q192" s="599"/>
      <c r="R192" s="599"/>
      <c r="S192" s="600"/>
      <c r="T192" s="305">
        <f>PCS!D192</f>
        <v>411716.59403905919</v>
      </c>
      <c r="U192" s="300">
        <f>Police!U192</f>
        <v>61559.704489477634</v>
      </c>
      <c r="V192" s="333">
        <f t="shared" si="14"/>
        <v>1351451.6697279976</v>
      </c>
      <c r="W192" s="177"/>
      <c r="X192" s="177"/>
      <c r="Y192" s="177"/>
      <c r="Z192" s="15"/>
    </row>
    <row r="193" spans="1:26" x14ac:dyDescent="0.25">
      <c r="A193" s="108">
        <f>Données!A193</f>
        <v>5723</v>
      </c>
      <c r="B193" s="116" t="str">
        <f>Données!B193</f>
        <v>Mies</v>
      </c>
      <c r="C193" s="304">
        <f>Ressources!H193</f>
        <v>10090488.228650158</v>
      </c>
      <c r="D193" s="304">
        <f>Ressources!L193</f>
        <v>0</v>
      </c>
      <c r="E193" s="332">
        <f>Ressources!T193</f>
        <v>622896.0067665634</v>
      </c>
      <c r="F193" s="305">
        <f t="shared" si="10"/>
        <v>10713384.235416722</v>
      </c>
      <c r="G193" s="304">
        <f>'Besoins structurels'!I193</f>
        <v>0</v>
      </c>
      <c r="H193" s="304">
        <f>'Besoins structurels'!N193</f>
        <v>0</v>
      </c>
      <c r="I193" s="304">
        <f>'Besoins structurels'!V193</f>
        <v>0</v>
      </c>
      <c r="J193" s="306">
        <f t="shared" si="11"/>
        <v>0</v>
      </c>
      <c r="K193" s="304">
        <f>'Charges des villes'!N193</f>
        <v>738562.84949378553</v>
      </c>
      <c r="L193" s="304">
        <f>'Charges des villes'!U193</f>
        <v>221937.86778076724</v>
      </c>
      <c r="M193" s="299">
        <f t="shared" si="12"/>
        <v>960500.71727455279</v>
      </c>
      <c r="N193" s="305">
        <f>-VLOOKUP(A193,Paramètres!$B$23:$C$316,2,FALSE)*$N$5</f>
        <v>0</v>
      </c>
      <c r="O193" s="319"/>
      <c r="P193" s="598">
        <f t="shared" si="13"/>
        <v>11673884.952691274</v>
      </c>
      <c r="Q193" s="599"/>
      <c r="R193" s="599"/>
      <c r="S193" s="600"/>
      <c r="T193" s="305">
        <f>PCS!D193</f>
        <v>2187182.1000525323</v>
      </c>
      <c r="U193" s="300">
        <f>Police!U193</f>
        <v>356981.62301944243</v>
      </c>
      <c r="V193" s="333">
        <f t="shared" si="14"/>
        <v>14218048.675763248</v>
      </c>
      <c r="W193" s="177"/>
      <c r="X193" s="177"/>
      <c r="Y193" s="177"/>
      <c r="Z193" s="15"/>
    </row>
    <row r="194" spans="1:26" x14ac:dyDescent="0.25">
      <c r="A194" s="108">
        <f>Données!A194</f>
        <v>5724</v>
      </c>
      <c r="B194" s="116" t="str">
        <f>Données!B194</f>
        <v>Nyon</v>
      </c>
      <c r="C194" s="304">
        <f>Ressources!H194</f>
        <v>29676316.938873436</v>
      </c>
      <c r="D194" s="304">
        <f>Ressources!L194</f>
        <v>0</v>
      </c>
      <c r="E194" s="332">
        <f>Ressources!T194</f>
        <v>2164921.3157539107</v>
      </c>
      <c r="F194" s="305">
        <f t="shared" si="10"/>
        <v>31841238.254627347</v>
      </c>
      <c r="G194" s="304">
        <f>'Besoins structurels'!I194</f>
        <v>0</v>
      </c>
      <c r="H194" s="304">
        <f>'Besoins structurels'!N194</f>
        <v>0</v>
      </c>
      <c r="I194" s="304">
        <f>'Besoins structurels'!V194</f>
        <v>0</v>
      </c>
      <c r="J194" s="306">
        <f t="shared" si="11"/>
        <v>0</v>
      </c>
      <c r="K194" s="304">
        <f>'Charges des villes'!N194</f>
        <v>-5639831.6334483996</v>
      </c>
      <c r="L194" s="304">
        <f>'Charges des villes'!U194</f>
        <v>266119.13973252894</v>
      </c>
      <c r="M194" s="299">
        <f t="shared" si="12"/>
        <v>-5373712.4937158711</v>
      </c>
      <c r="N194" s="305">
        <f>-VLOOKUP(A194,Paramètres!$B$23:$C$316,2,FALSE)*$N$5</f>
        <v>0</v>
      </c>
      <c r="O194" s="319"/>
      <c r="P194" s="598">
        <f t="shared" si="13"/>
        <v>26467525.760911476</v>
      </c>
      <c r="Q194" s="599"/>
      <c r="R194" s="599"/>
      <c r="S194" s="600"/>
      <c r="T194" s="305">
        <f>PCS!D194</f>
        <v>23658252.323813446</v>
      </c>
      <c r="U194" s="300">
        <f>Police!U194</f>
        <v>735392.52226431505</v>
      </c>
      <c r="V194" s="333">
        <f t="shared" si="14"/>
        <v>50861170.606989235</v>
      </c>
      <c r="W194" s="177"/>
      <c r="X194" s="177"/>
      <c r="Y194" s="177"/>
      <c r="Z194" s="15"/>
    </row>
    <row r="195" spans="1:26" x14ac:dyDescent="0.25">
      <c r="A195" s="108">
        <f>Données!A195</f>
        <v>5725</v>
      </c>
      <c r="B195" s="116" t="str">
        <f>Données!B195</f>
        <v>Prangins</v>
      </c>
      <c r="C195" s="304">
        <f>Ressources!H195</f>
        <v>7921372.2357310578</v>
      </c>
      <c r="D195" s="304">
        <f>Ressources!L195</f>
        <v>0</v>
      </c>
      <c r="E195" s="332">
        <f>Ressources!T195</f>
        <v>759463.12163424259</v>
      </c>
      <c r="F195" s="305">
        <f t="shared" si="10"/>
        <v>8680835.3573653009</v>
      </c>
      <c r="G195" s="304">
        <f>'Besoins structurels'!I195</f>
        <v>0</v>
      </c>
      <c r="H195" s="304">
        <f>'Besoins structurels'!N195</f>
        <v>0</v>
      </c>
      <c r="I195" s="304">
        <f>'Besoins structurels'!V195</f>
        <v>0</v>
      </c>
      <c r="J195" s="306">
        <f t="shared" si="11"/>
        <v>0</v>
      </c>
      <c r="K195" s="304">
        <f>'Charges des villes'!N195</f>
        <v>838143.21011559991</v>
      </c>
      <c r="L195" s="304">
        <f>'Charges des villes'!U195</f>
        <v>-120684.19043126918</v>
      </c>
      <c r="M195" s="299">
        <f t="shared" si="12"/>
        <v>717459.01968433079</v>
      </c>
      <c r="N195" s="305">
        <f>-VLOOKUP(A195,Paramètres!$B$23:$C$316,2,FALSE)*$N$5</f>
        <v>0</v>
      </c>
      <c r="O195" s="319"/>
      <c r="P195" s="598">
        <f t="shared" si="13"/>
        <v>9398294.3770496324</v>
      </c>
      <c r="Q195" s="599"/>
      <c r="R195" s="599"/>
      <c r="S195" s="600"/>
      <c r="T195" s="305">
        <f>PCS!D195</f>
        <v>4229814.7905756133</v>
      </c>
      <c r="U195" s="300">
        <f>Police!U195</f>
        <v>131479.45693441297</v>
      </c>
      <c r="V195" s="333">
        <f t="shared" si="14"/>
        <v>13759588.624559658</v>
      </c>
      <c r="W195" s="177"/>
      <c r="X195" s="177"/>
      <c r="Y195" s="177"/>
      <c r="Z195" s="15"/>
    </row>
    <row r="196" spans="1:26" x14ac:dyDescent="0.25">
      <c r="A196" s="108">
        <f>Données!A196</f>
        <v>5726</v>
      </c>
      <c r="B196" s="116" t="str">
        <f>Données!B196</f>
        <v>La Rippe</v>
      </c>
      <c r="C196" s="304">
        <f>Ressources!H196</f>
        <v>767728.37065444398</v>
      </c>
      <c r="D196" s="304">
        <f>Ressources!L196</f>
        <v>0</v>
      </c>
      <c r="E196" s="332">
        <f>Ressources!T196</f>
        <v>-57776.130049373693</v>
      </c>
      <c r="F196" s="305">
        <f t="shared" si="10"/>
        <v>709952.24060507026</v>
      </c>
      <c r="G196" s="304">
        <f>'Besoins structurels'!I196</f>
        <v>-78307</v>
      </c>
      <c r="H196" s="304">
        <f>'Besoins structurels'!N196</f>
        <v>0</v>
      </c>
      <c r="I196" s="304">
        <f>'Besoins structurels'!V196</f>
        <v>0</v>
      </c>
      <c r="J196" s="306">
        <f t="shared" si="11"/>
        <v>-78307</v>
      </c>
      <c r="K196" s="304">
        <f>'Charges des villes'!N196</f>
        <v>517034.77596076188</v>
      </c>
      <c r="L196" s="304">
        <f>'Charges des villes'!U196</f>
        <v>123208.89833955081</v>
      </c>
      <c r="M196" s="299">
        <f t="shared" si="12"/>
        <v>640243.67430031265</v>
      </c>
      <c r="N196" s="305">
        <f>-VLOOKUP(A196,Paramètres!$B$23:$C$316,2,FALSE)*$N$5</f>
        <v>0</v>
      </c>
      <c r="O196" s="319"/>
      <c r="P196" s="598">
        <f t="shared" si="13"/>
        <v>1271888.9149053828</v>
      </c>
      <c r="Q196" s="599"/>
      <c r="R196" s="599"/>
      <c r="S196" s="600"/>
      <c r="T196" s="305">
        <f>PCS!D196</f>
        <v>1214215.040047395</v>
      </c>
      <c r="U196" s="300">
        <f>Police!U196</f>
        <v>187018.13147387997</v>
      </c>
      <c r="V196" s="333">
        <f t="shared" si="14"/>
        <v>2673122.0864266576</v>
      </c>
      <c r="W196" s="177"/>
      <c r="X196" s="177"/>
      <c r="Y196" s="177"/>
      <c r="Z196" s="15"/>
    </row>
    <row r="197" spans="1:26" x14ac:dyDescent="0.25">
      <c r="A197" s="108">
        <f>Données!A197</f>
        <v>5727</v>
      </c>
      <c r="B197" s="116" t="str">
        <f>Données!B197</f>
        <v>Saint-Cergue</v>
      </c>
      <c r="C197" s="304">
        <f>Ressources!H197</f>
        <v>-3046569.1186549566</v>
      </c>
      <c r="D197" s="304">
        <f>Ressources!L197</f>
        <v>0</v>
      </c>
      <c r="E197" s="332">
        <f>Ressources!T197</f>
        <v>-134593.70620766451</v>
      </c>
      <c r="F197" s="305">
        <f t="shared" si="10"/>
        <v>-3181162.8248626213</v>
      </c>
      <c r="G197" s="304">
        <f>'Besoins structurels'!I197</f>
        <v>-12820</v>
      </c>
      <c r="H197" s="304">
        <f>'Besoins structurels'!N197</f>
        <v>-485396</v>
      </c>
      <c r="I197" s="304">
        <f>'Besoins structurels'!V197</f>
        <v>0</v>
      </c>
      <c r="J197" s="306">
        <f t="shared" si="11"/>
        <v>-498216</v>
      </c>
      <c r="K197" s="304">
        <f>'Charges des villes'!N197</f>
        <v>917682.38162907655</v>
      </c>
      <c r="L197" s="304">
        <f>'Charges des villes'!U197</f>
        <v>309236.12662069529</v>
      </c>
      <c r="M197" s="299">
        <f t="shared" si="12"/>
        <v>1226918.5082497718</v>
      </c>
      <c r="N197" s="305">
        <f>-VLOOKUP(A197,Paramètres!$B$23:$C$316,2,FALSE)*$N$5</f>
        <v>0</v>
      </c>
      <c r="O197" s="319"/>
      <c r="P197" s="598">
        <f t="shared" si="13"/>
        <v>-2452460.3166128495</v>
      </c>
      <c r="Q197" s="599"/>
      <c r="R197" s="599"/>
      <c r="S197" s="600"/>
      <c r="T197" s="305">
        <f>PCS!D197</f>
        <v>3047500.3098726491</v>
      </c>
      <c r="U197" s="300">
        <f>Police!U197</f>
        <v>507981.97090956947</v>
      </c>
      <c r="V197" s="333">
        <f t="shared" si="14"/>
        <v>1103021.9641693691</v>
      </c>
      <c r="W197" s="177"/>
      <c r="X197" s="177"/>
      <c r="Y197" s="177"/>
      <c r="Z197" s="15"/>
    </row>
    <row r="198" spans="1:26" x14ac:dyDescent="0.25">
      <c r="A198" s="108">
        <f>Données!A198</f>
        <v>5728</v>
      </c>
      <c r="B198" s="116" t="str">
        <f>Données!B198</f>
        <v>Signy-Avenex</v>
      </c>
      <c r="C198" s="304">
        <f>Ressources!H198</f>
        <v>999485.81892396335</v>
      </c>
      <c r="D198" s="304">
        <f>Ressources!L198</f>
        <v>0</v>
      </c>
      <c r="E198" s="332">
        <f>Ressources!T198</f>
        <v>39327.647053421213</v>
      </c>
      <c r="F198" s="305">
        <f t="shared" ref="F198:F261" si="15">SUM(C198:E198)</f>
        <v>1038813.4659773846</v>
      </c>
      <c r="G198" s="304">
        <f>'Besoins structurels'!I198</f>
        <v>0</v>
      </c>
      <c r="H198" s="304">
        <f>'Besoins structurels'!N198</f>
        <v>0</v>
      </c>
      <c r="I198" s="304">
        <f>'Besoins structurels'!V198</f>
        <v>0</v>
      </c>
      <c r="J198" s="306">
        <f t="shared" ref="J198:J261" si="16">SUM(G198:I198)</f>
        <v>0</v>
      </c>
      <c r="K198" s="304">
        <f>'Charges des villes'!N198</f>
        <v>273986.71443257952</v>
      </c>
      <c r="L198" s="304">
        <f>'Charges des villes'!U198</f>
        <v>59277.844357123788</v>
      </c>
      <c r="M198" s="299">
        <f t="shared" ref="M198:M261" si="17">SUM(K198:L198)</f>
        <v>333264.5587897033</v>
      </c>
      <c r="N198" s="305">
        <f>-VLOOKUP(A198,Paramètres!$B$23:$C$316,2,FALSE)*$N$5</f>
        <v>0</v>
      </c>
      <c r="O198" s="319"/>
      <c r="P198" s="598">
        <f t="shared" ref="P198:P261" si="18">F198+J198+M198+N198</f>
        <v>1372078.0247670878</v>
      </c>
      <c r="Q198" s="599"/>
      <c r="R198" s="599"/>
      <c r="S198" s="600"/>
      <c r="T198" s="305">
        <f>PCS!D198</f>
        <v>584178.99299488787</v>
      </c>
      <c r="U198" s="300">
        <f>Police!U198</f>
        <v>35455.507654009045</v>
      </c>
      <c r="V198" s="333">
        <f t="shared" ref="V198:V261" si="19">P198+T198+U198</f>
        <v>1991712.5254159847</v>
      </c>
      <c r="W198" s="177"/>
      <c r="X198" s="177"/>
      <c r="Y198" s="177"/>
      <c r="Z198" s="15"/>
    </row>
    <row r="199" spans="1:26" x14ac:dyDescent="0.25">
      <c r="A199" s="108">
        <f>Données!A199</f>
        <v>5729</v>
      </c>
      <c r="B199" s="116" t="str">
        <f>Données!B199</f>
        <v>Tannay</v>
      </c>
      <c r="C199" s="304">
        <f>Ressources!H199</f>
        <v>5184325.5334158111</v>
      </c>
      <c r="D199" s="304">
        <f>Ressources!L199</f>
        <v>0</v>
      </c>
      <c r="E199" s="332">
        <f>Ressources!T199</f>
        <v>236887.57350942929</v>
      </c>
      <c r="F199" s="305">
        <f t="shared" si="15"/>
        <v>5421213.1069252407</v>
      </c>
      <c r="G199" s="304">
        <f>'Besoins structurels'!I199</f>
        <v>0</v>
      </c>
      <c r="H199" s="304">
        <f>'Besoins structurels'!N199</f>
        <v>0</v>
      </c>
      <c r="I199" s="304">
        <f>'Besoins structurels'!V199</f>
        <v>0</v>
      </c>
      <c r="J199" s="306">
        <f t="shared" si="16"/>
        <v>0</v>
      </c>
      <c r="K199" s="304">
        <f>'Charges des villes'!N199</f>
        <v>633700.17534188298</v>
      </c>
      <c r="L199" s="304">
        <f>'Charges des villes'!U199</f>
        <v>175203.45806576521</v>
      </c>
      <c r="M199" s="299">
        <f t="shared" si="17"/>
        <v>808903.63340764819</v>
      </c>
      <c r="N199" s="305">
        <f>-VLOOKUP(A199,Paramètres!$B$23:$C$316,2,FALSE)*$N$5</f>
        <v>0</v>
      </c>
      <c r="O199" s="319"/>
      <c r="P199" s="598">
        <f t="shared" si="18"/>
        <v>6230116.7403328884</v>
      </c>
      <c r="Q199" s="599"/>
      <c r="R199" s="599"/>
      <c r="S199" s="600"/>
      <c r="T199" s="305">
        <f>PCS!D199</f>
        <v>1726617.7745173136</v>
      </c>
      <c r="U199" s="300">
        <f>Police!U199</f>
        <v>276527.5932099651</v>
      </c>
      <c r="V199" s="333">
        <f t="shared" si="19"/>
        <v>8233262.1080601672</v>
      </c>
      <c r="W199" s="177"/>
      <c r="X199" s="177"/>
      <c r="Y199" s="177"/>
      <c r="Z199" s="15"/>
    </row>
    <row r="200" spans="1:26" x14ac:dyDescent="0.25">
      <c r="A200" s="108">
        <f>Données!A200</f>
        <v>5730</v>
      </c>
      <c r="B200" s="116" t="str">
        <f>Données!B200</f>
        <v>Trélex</v>
      </c>
      <c r="C200" s="304">
        <f>Ressources!H200</f>
        <v>3859044.68562622</v>
      </c>
      <c r="D200" s="304">
        <f>Ressources!L200</f>
        <v>0</v>
      </c>
      <c r="E200" s="332">
        <f>Ressources!T200</f>
        <v>42751.486066948914</v>
      </c>
      <c r="F200" s="305">
        <f t="shared" si="15"/>
        <v>3901796.171693169</v>
      </c>
      <c r="G200" s="304">
        <f>'Besoins structurels'!I200</f>
        <v>0</v>
      </c>
      <c r="H200" s="304">
        <f>'Besoins structurels'!N200</f>
        <v>0</v>
      </c>
      <c r="I200" s="304">
        <f>'Besoins structurels'!V200</f>
        <v>0</v>
      </c>
      <c r="J200" s="306">
        <f t="shared" si="16"/>
        <v>0</v>
      </c>
      <c r="K200" s="304">
        <f>'Charges des villes'!N200</f>
        <v>564472.65236281301</v>
      </c>
      <c r="L200" s="304">
        <f>'Charges des villes'!U200</f>
        <v>144350.65511538507</v>
      </c>
      <c r="M200" s="299">
        <f t="shared" si="17"/>
        <v>708823.30747819808</v>
      </c>
      <c r="N200" s="305">
        <f>-VLOOKUP(A200,Paramètres!$B$23:$C$316,2,FALSE)*$N$5</f>
        <v>-10725</v>
      </c>
      <c r="O200" s="319"/>
      <c r="P200" s="598">
        <f t="shared" si="18"/>
        <v>4599894.4791713674</v>
      </c>
      <c r="Q200" s="599"/>
      <c r="R200" s="599"/>
      <c r="S200" s="600"/>
      <c r="T200" s="305">
        <f>PCS!D200</f>
        <v>1422565.5682657082</v>
      </c>
      <c r="U200" s="300">
        <f>Police!U200</f>
        <v>223414.00210197686</v>
      </c>
      <c r="V200" s="333">
        <f t="shared" si="19"/>
        <v>6245874.0495390519</v>
      </c>
      <c r="W200" s="177"/>
      <c r="X200" s="177"/>
      <c r="Y200" s="177"/>
      <c r="Z200" s="15"/>
    </row>
    <row r="201" spans="1:26" x14ac:dyDescent="0.25">
      <c r="A201" s="108">
        <f>Données!A201</f>
        <v>5731</v>
      </c>
      <c r="B201" s="116" t="str">
        <f>Données!B201</f>
        <v>Le Vaud</v>
      </c>
      <c r="C201" s="304">
        <f>Ressources!H201</f>
        <v>-112880.7955965625</v>
      </c>
      <c r="D201" s="304">
        <f>Ressources!L201</f>
        <v>0</v>
      </c>
      <c r="E201" s="332">
        <f>Ressources!T201</f>
        <v>-41531.184144367318</v>
      </c>
      <c r="F201" s="305">
        <f t="shared" si="15"/>
        <v>-154411.97974092982</v>
      </c>
      <c r="G201" s="304">
        <f>'Besoins structurels'!I201</f>
        <v>0</v>
      </c>
      <c r="H201" s="304">
        <f>'Besoins structurels'!N201</f>
        <v>-108766</v>
      </c>
      <c r="I201" s="304">
        <f>'Besoins structurels'!V201</f>
        <v>0</v>
      </c>
      <c r="J201" s="306">
        <f t="shared" si="16"/>
        <v>-108766</v>
      </c>
      <c r="K201" s="304">
        <f>'Charges des villes'!N201</f>
        <v>552442.95164841728</v>
      </c>
      <c r="L201" s="304">
        <f>'Charges des villes'!U201</f>
        <v>138989.34837318785</v>
      </c>
      <c r="M201" s="299">
        <f t="shared" si="17"/>
        <v>691432.3000216051</v>
      </c>
      <c r="N201" s="305">
        <f>-VLOOKUP(A201,Paramètres!$B$23:$C$316,2,FALSE)*$N$5</f>
        <v>0</v>
      </c>
      <c r="O201" s="319"/>
      <c r="P201" s="598">
        <f t="shared" si="18"/>
        <v>428254.32028067531</v>
      </c>
      <c r="Q201" s="599"/>
      <c r="R201" s="599"/>
      <c r="S201" s="600"/>
      <c r="T201" s="305">
        <f>PCS!D201</f>
        <v>1369730.2668514948</v>
      </c>
      <c r="U201" s="300">
        <f>Police!U201</f>
        <v>214184.4272537035</v>
      </c>
      <c r="V201" s="333">
        <f t="shared" si="19"/>
        <v>2012169.0143858737</v>
      </c>
      <c r="W201" s="177"/>
      <c r="X201" s="177"/>
      <c r="Y201" s="177"/>
      <c r="Z201" s="15"/>
    </row>
    <row r="202" spans="1:26" x14ac:dyDescent="0.25">
      <c r="A202" s="108">
        <f>Données!A202</f>
        <v>5732</v>
      </c>
      <c r="B202" s="116" t="str">
        <f>Données!B202</f>
        <v>Vich</v>
      </c>
      <c r="C202" s="304">
        <f>Ressources!H202</f>
        <v>1862611.8461031262</v>
      </c>
      <c r="D202" s="304">
        <f>Ressources!L202</f>
        <v>0</v>
      </c>
      <c r="E202" s="332">
        <f>Ressources!T202</f>
        <v>-7682.1510738626239</v>
      </c>
      <c r="F202" s="305">
        <f t="shared" si="15"/>
        <v>1854929.6950292636</v>
      </c>
      <c r="G202" s="304">
        <f>'Besoins structurels'!I202</f>
        <v>0</v>
      </c>
      <c r="H202" s="304">
        <f>'Besoins structurels'!N202</f>
        <v>0</v>
      </c>
      <c r="I202" s="304">
        <f>'Besoins structurels'!V202</f>
        <v>0</v>
      </c>
      <c r="J202" s="306">
        <f t="shared" si="16"/>
        <v>0</v>
      </c>
      <c r="K202" s="304">
        <f>'Charges des villes'!N202</f>
        <v>507047.85461296164</v>
      </c>
      <c r="L202" s="304">
        <f>'Charges des villes'!U202</f>
        <v>118758.00217621728</v>
      </c>
      <c r="M202" s="299">
        <f t="shared" si="17"/>
        <v>625805.85678917891</v>
      </c>
      <c r="N202" s="305">
        <f>-VLOOKUP(A202,Paramètres!$B$23:$C$316,2,FALSE)*$N$5</f>
        <v>0</v>
      </c>
      <c r="O202" s="319"/>
      <c r="P202" s="598">
        <f t="shared" si="18"/>
        <v>2480735.5518184425</v>
      </c>
      <c r="Q202" s="599"/>
      <c r="R202" s="599"/>
      <c r="S202" s="600"/>
      <c r="T202" s="305">
        <f>PCS!D202</f>
        <v>1170351.7709488026</v>
      </c>
      <c r="U202" s="300">
        <f>Police!U202</f>
        <v>179355.84292059645</v>
      </c>
      <c r="V202" s="333">
        <f t="shared" si="19"/>
        <v>3830443.1656878414</v>
      </c>
      <c r="W202" s="177"/>
      <c r="X202" s="177"/>
      <c r="Y202" s="177"/>
      <c r="Z202" s="15"/>
    </row>
    <row r="203" spans="1:26" x14ac:dyDescent="0.25">
      <c r="A203" s="108">
        <f>Données!A203</f>
        <v>5741</v>
      </c>
      <c r="B203" s="116" t="str">
        <f>Données!B203</f>
        <v>L'Abergement</v>
      </c>
      <c r="C203" s="304">
        <f>Ressources!H203</f>
        <v>-258172.74384339649</v>
      </c>
      <c r="D203" s="304">
        <f>Ressources!L203</f>
        <v>0</v>
      </c>
      <c r="E203" s="332">
        <f>Ressources!T203</f>
        <v>-22280.709124123783</v>
      </c>
      <c r="F203" s="305">
        <f t="shared" si="15"/>
        <v>-280453.45296752028</v>
      </c>
      <c r="G203" s="304">
        <f>'Besoins structurels'!I203</f>
        <v>-40708</v>
      </c>
      <c r="H203" s="304">
        <f>'Besoins structurels'!N203</f>
        <v>-4440</v>
      </c>
      <c r="I203" s="304">
        <f>'Besoins structurels'!V203</f>
        <v>0</v>
      </c>
      <c r="J203" s="306">
        <f t="shared" si="16"/>
        <v>-45148</v>
      </c>
      <c r="K203" s="304">
        <f>'Charges des villes'!N203</f>
        <v>124836.95009129474</v>
      </c>
      <c r="L203" s="304">
        <f>'Charges des villes'!U203</f>
        <v>27008.84717295572</v>
      </c>
      <c r="M203" s="299">
        <f t="shared" si="17"/>
        <v>151845.79726425046</v>
      </c>
      <c r="N203" s="305">
        <f>-VLOOKUP(A203,Paramètres!$B$23:$C$316,2,FALSE)*$N$5</f>
        <v>-11475</v>
      </c>
      <c r="O203" s="319"/>
      <c r="P203" s="598">
        <f t="shared" si="18"/>
        <v>-185230.65570326982</v>
      </c>
      <c r="Q203" s="599"/>
      <c r="R203" s="599"/>
      <c r="S203" s="600"/>
      <c r="T203" s="305">
        <f>PCS!D203</f>
        <v>266170.29203009396</v>
      </c>
      <c r="U203" s="300">
        <f>Police!U203</f>
        <v>39797.678205061813</v>
      </c>
      <c r="V203" s="333">
        <f t="shared" si="19"/>
        <v>120737.31453188596</v>
      </c>
      <c r="W203" s="177"/>
      <c r="X203" s="177"/>
      <c r="Y203" s="177"/>
      <c r="Z203" s="15"/>
    </row>
    <row r="204" spans="1:26" x14ac:dyDescent="0.25">
      <c r="A204" s="108">
        <f>Données!A204</f>
        <v>5742</v>
      </c>
      <c r="B204" s="116" t="str">
        <f>Données!B204</f>
        <v>Agiez</v>
      </c>
      <c r="C204" s="304">
        <f>Ressources!H204</f>
        <v>-421836.51877455565</v>
      </c>
      <c r="D204" s="304">
        <f>Ressources!L204</f>
        <v>0</v>
      </c>
      <c r="E204" s="332">
        <f>Ressources!T204</f>
        <v>-45298.55951466399</v>
      </c>
      <c r="F204" s="305">
        <f t="shared" si="15"/>
        <v>-467135.07828921964</v>
      </c>
      <c r="G204" s="304">
        <f>'Besoins structurels'!I204</f>
        <v>-27421</v>
      </c>
      <c r="H204" s="304">
        <f>'Besoins structurels'!N204</f>
        <v>0</v>
      </c>
      <c r="I204" s="304">
        <f>'Besoins structurels'!V204</f>
        <v>-58265</v>
      </c>
      <c r="J204" s="306">
        <f t="shared" si="16"/>
        <v>-85686</v>
      </c>
      <c r="K204" s="304">
        <f>'Charges des villes'!N204</f>
        <v>178605.67391338799</v>
      </c>
      <c r="L204" s="304">
        <f>'Charges des villes'!U204</f>
        <v>38641.871236213803</v>
      </c>
      <c r="M204" s="299">
        <f t="shared" si="17"/>
        <v>217247.54514960179</v>
      </c>
      <c r="N204" s="305">
        <f>-VLOOKUP(A204,Paramètres!$B$23:$C$316,2,FALSE)*$N$5</f>
        <v>0</v>
      </c>
      <c r="O204" s="319"/>
      <c r="P204" s="598">
        <f t="shared" si="18"/>
        <v>-335573.53313961788</v>
      </c>
      <c r="Q204" s="599"/>
      <c r="R204" s="599"/>
      <c r="S204" s="600"/>
      <c r="T204" s="305">
        <f>PCS!D204</f>
        <v>380812.92717414192</v>
      </c>
      <c r="U204" s="300">
        <f>Police!U204</f>
        <v>56939.000278403044</v>
      </c>
      <c r="V204" s="333">
        <f t="shared" si="19"/>
        <v>102178.39431292709</v>
      </c>
      <c r="W204" s="177"/>
      <c r="X204" s="177"/>
      <c r="Y204" s="177"/>
      <c r="Z204" s="15"/>
    </row>
    <row r="205" spans="1:26" x14ac:dyDescent="0.25">
      <c r="A205" s="108">
        <f>Données!A205</f>
        <v>5743</v>
      </c>
      <c r="B205" s="116" t="str">
        <f>Données!B205</f>
        <v>Arnex-sur-Orbe</v>
      </c>
      <c r="C205" s="304">
        <f>Ressources!H205</f>
        <v>-906694.09409930138</v>
      </c>
      <c r="D205" s="304">
        <f>Ressources!L205</f>
        <v>0</v>
      </c>
      <c r="E205" s="332">
        <f>Ressources!T205</f>
        <v>-112145.61306606143</v>
      </c>
      <c r="F205" s="305">
        <f t="shared" si="15"/>
        <v>-1018839.7071653628</v>
      </c>
      <c r="G205" s="304">
        <f>'Besoins structurels'!I205</f>
        <v>-24851</v>
      </c>
      <c r="H205" s="304">
        <f>'Besoins structurels'!N205</f>
        <v>0</v>
      </c>
      <c r="I205" s="304">
        <f>'Besoins structurels'!V205</f>
        <v>-14691</v>
      </c>
      <c r="J205" s="306">
        <f t="shared" si="16"/>
        <v>-39542</v>
      </c>
      <c r="K205" s="304">
        <f>'Charges des villes'!N205</f>
        <v>326352.77589409635</v>
      </c>
      <c r="L205" s="304">
        <f>'Charges des villes'!U205</f>
        <v>70607.398227427315</v>
      </c>
      <c r="M205" s="299">
        <f t="shared" si="17"/>
        <v>396960.17412152368</v>
      </c>
      <c r="N205" s="305">
        <f>-VLOOKUP(A205,Paramètres!$B$23:$C$316,2,FALSE)*$N$5</f>
        <v>0</v>
      </c>
      <c r="O205" s="319"/>
      <c r="P205" s="598">
        <f t="shared" si="18"/>
        <v>-661421.53304383904</v>
      </c>
      <c r="Q205" s="599"/>
      <c r="R205" s="599"/>
      <c r="S205" s="600"/>
      <c r="T205" s="305">
        <f>PCS!D205</f>
        <v>695830.95070039551</v>
      </c>
      <c r="U205" s="300">
        <f>Police!U205</f>
        <v>104040.37223645372</v>
      </c>
      <c r="V205" s="333">
        <f t="shared" si="19"/>
        <v>138449.78989301019</v>
      </c>
      <c r="W205" s="177"/>
      <c r="X205" s="177"/>
      <c r="Y205" s="177"/>
      <c r="Z205" s="15"/>
    </row>
    <row r="206" spans="1:26" x14ac:dyDescent="0.25">
      <c r="A206" s="108">
        <f>Données!A206</f>
        <v>5744</v>
      </c>
      <c r="B206" s="116" t="str">
        <f>Données!B206</f>
        <v>Ballaigues</v>
      </c>
      <c r="C206" s="304">
        <f>Ressources!H206</f>
        <v>-369966.25929584686</v>
      </c>
      <c r="D206" s="304">
        <f>Ressources!L206</f>
        <v>0</v>
      </c>
      <c r="E206" s="332">
        <f>Ressources!T206</f>
        <v>144104.00504097881</v>
      </c>
      <c r="F206" s="305">
        <f t="shared" si="15"/>
        <v>-225862.25425486805</v>
      </c>
      <c r="G206" s="304">
        <f>'Besoins structurels'!I206</f>
        <v>0</v>
      </c>
      <c r="H206" s="304">
        <f>'Besoins structurels'!N206</f>
        <v>-171051</v>
      </c>
      <c r="I206" s="304">
        <f>'Besoins structurels'!V206</f>
        <v>0</v>
      </c>
      <c r="J206" s="306">
        <f t="shared" si="16"/>
        <v>-171051</v>
      </c>
      <c r="K206" s="304">
        <f>'Charges des villes'!N206</f>
        <v>516807.80047558458</v>
      </c>
      <c r="L206" s="304">
        <f>'Charges des villes'!U206</f>
        <v>123107.74160856596</v>
      </c>
      <c r="M206" s="299">
        <f t="shared" si="17"/>
        <v>639915.54208415048</v>
      </c>
      <c r="N206" s="305">
        <f>-VLOOKUP(A206,Paramètres!$B$23:$C$316,2,FALSE)*$N$5</f>
        <v>-36975</v>
      </c>
      <c r="O206" s="319"/>
      <c r="P206" s="598">
        <f t="shared" si="18"/>
        <v>206027.28782928246</v>
      </c>
      <c r="Q206" s="599"/>
      <c r="R206" s="599"/>
      <c r="S206" s="600"/>
      <c r="T206" s="305">
        <f>PCS!D206</f>
        <v>1213218.1475678815</v>
      </c>
      <c r="U206" s="300">
        <f>Police!U206</f>
        <v>186843.98855221446</v>
      </c>
      <c r="V206" s="333">
        <f t="shared" si="19"/>
        <v>1606089.4239493785</v>
      </c>
      <c r="W206" s="177"/>
      <c r="X206" s="177"/>
      <c r="Y206" s="177"/>
      <c r="Z206" s="15"/>
    </row>
    <row r="207" spans="1:26" x14ac:dyDescent="0.25">
      <c r="A207" s="108">
        <f>Données!A207</f>
        <v>5745</v>
      </c>
      <c r="B207" s="116" t="str">
        <f>Données!B207</f>
        <v>Baulmes</v>
      </c>
      <c r="C207" s="304">
        <f>Ressources!H207</f>
        <v>-1608387.3633115247</v>
      </c>
      <c r="D207" s="304">
        <f>Ressources!L207</f>
        <v>0</v>
      </c>
      <c r="E207" s="332">
        <f>Ressources!T207</f>
        <v>-112702.8674291505</v>
      </c>
      <c r="F207" s="305">
        <f t="shared" si="15"/>
        <v>-1721090.2307406752</v>
      </c>
      <c r="G207" s="304">
        <f>'Besoins structurels'!I207</f>
        <v>-142969</v>
      </c>
      <c r="H207" s="304">
        <f>'Besoins structurels'!N207</f>
        <v>-250</v>
      </c>
      <c r="I207" s="304">
        <f>'Besoins structurels'!V207</f>
        <v>0</v>
      </c>
      <c r="J207" s="306">
        <f t="shared" si="16"/>
        <v>-143219</v>
      </c>
      <c r="K207" s="304">
        <f>'Charges des villes'!N207</f>
        <v>510452.48689062078</v>
      </c>
      <c r="L207" s="304">
        <f>'Charges des villes'!U207</f>
        <v>120275.35314099008</v>
      </c>
      <c r="M207" s="299">
        <f t="shared" si="17"/>
        <v>630727.8400316108</v>
      </c>
      <c r="N207" s="305">
        <f>-VLOOKUP(A207,Paramètres!$B$23:$C$316,2,FALSE)*$N$5</f>
        <v>-144075</v>
      </c>
      <c r="O207" s="319"/>
      <c r="P207" s="598">
        <f t="shared" si="18"/>
        <v>-1377656.3907090644</v>
      </c>
      <c r="Q207" s="599"/>
      <c r="R207" s="599"/>
      <c r="S207" s="600"/>
      <c r="T207" s="305">
        <f>PCS!D207</f>
        <v>1185305.1581415045</v>
      </c>
      <c r="U207" s="300">
        <f>Police!U207</f>
        <v>181967.98674557946</v>
      </c>
      <c r="V207" s="333">
        <f t="shared" si="19"/>
        <v>-10383.245821980468</v>
      </c>
      <c r="W207" s="177"/>
      <c r="X207" s="177"/>
      <c r="Y207" s="177"/>
      <c r="Z207" s="15"/>
    </row>
    <row r="208" spans="1:26" x14ac:dyDescent="0.25">
      <c r="A208" s="108">
        <f>Données!A208</f>
        <v>5746</v>
      </c>
      <c r="B208" s="116" t="str">
        <f>Données!B208</f>
        <v>Bavois</v>
      </c>
      <c r="C208" s="304">
        <f>Ressources!H208</f>
        <v>-874654.06672756653</v>
      </c>
      <c r="D208" s="304">
        <f>Ressources!L208</f>
        <v>0</v>
      </c>
      <c r="E208" s="332">
        <f>Ressources!T208</f>
        <v>-45906.425321912335</v>
      </c>
      <c r="F208" s="305">
        <f t="shared" si="15"/>
        <v>-920560.49204947893</v>
      </c>
      <c r="G208" s="304">
        <f>'Besoins structurels'!I208</f>
        <v>-14074</v>
      </c>
      <c r="H208" s="304">
        <f>'Besoins structurels'!N208</f>
        <v>0</v>
      </c>
      <c r="I208" s="304">
        <f>'Besoins structurels'!V208</f>
        <v>0</v>
      </c>
      <c r="J208" s="306">
        <f t="shared" si="16"/>
        <v>-14074</v>
      </c>
      <c r="K208" s="304">
        <f>'Charges des villes'!N208</f>
        <v>480037.77187686553</v>
      </c>
      <c r="L208" s="304">
        <f>'Charges des villes'!U208</f>
        <v>106720.3511890198</v>
      </c>
      <c r="M208" s="299">
        <f t="shared" si="17"/>
        <v>586758.12306588539</v>
      </c>
      <c r="N208" s="305">
        <f>-VLOOKUP(A208,Paramètres!$B$23:$C$316,2,FALSE)*$N$5</f>
        <v>-65850</v>
      </c>
      <c r="O208" s="319"/>
      <c r="P208" s="598">
        <f t="shared" si="18"/>
        <v>-413726.36898359354</v>
      </c>
      <c r="Q208" s="599"/>
      <c r="R208" s="599"/>
      <c r="S208" s="600"/>
      <c r="T208" s="305">
        <f>PCS!D208</f>
        <v>1051721.565886701</v>
      </c>
      <c r="U208" s="300">
        <f>Police!U208</f>
        <v>158632.83524239773</v>
      </c>
      <c r="V208" s="333">
        <f t="shared" si="19"/>
        <v>796628.03214550519</v>
      </c>
      <c r="W208" s="177"/>
      <c r="X208" s="177"/>
      <c r="Y208" s="177"/>
      <c r="Z208" s="15"/>
    </row>
    <row r="209" spans="1:26" x14ac:dyDescent="0.25">
      <c r="A209" s="108">
        <f>Données!A209</f>
        <v>5747</v>
      </c>
      <c r="B209" s="116" t="str">
        <f>Données!B209</f>
        <v>Bofflens</v>
      </c>
      <c r="C209" s="304">
        <f>Ressources!H209</f>
        <v>-184186.4914614447</v>
      </c>
      <c r="D209" s="304">
        <f>Ressources!L209</f>
        <v>0</v>
      </c>
      <c r="E209" s="332">
        <f>Ressources!T209</f>
        <v>66463.791839142767</v>
      </c>
      <c r="F209" s="305">
        <f t="shared" si="15"/>
        <v>-117722.69962230194</v>
      </c>
      <c r="G209" s="304">
        <f>'Besoins structurels'!I209</f>
        <v>-28359</v>
      </c>
      <c r="H209" s="304">
        <f>'Besoins structurels'!N209</f>
        <v>0</v>
      </c>
      <c r="I209" s="304">
        <f>'Besoins structurels'!V209</f>
        <v>-960</v>
      </c>
      <c r="J209" s="306">
        <f t="shared" si="16"/>
        <v>-29319</v>
      </c>
      <c r="K209" s="304">
        <f>'Charges des villes'!N209</f>
        <v>93978.378158615145</v>
      </c>
      <c r="L209" s="304">
        <f>'Charges des villes'!U209</f>
        <v>20332.502927955429</v>
      </c>
      <c r="M209" s="299">
        <f t="shared" si="17"/>
        <v>114310.88108657057</v>
      </c>
      <c r="N209" s="305">
        <f>-VLOOKUP(A209,Paramètres!$B$23:$C$316,2,FALSE)*$N$5</f>
        <v>0</v>
      </c>
      <c r="O209" s="319"/>
      <c r="P209" s="598">
        <f t="shared" si="18"/>
        <v>-32730.818535731363</v>
      </c>
      <c r="Q209" s="599"/>
      <c r="R209" s="599"/>
      <c r="S209" s="600"/>
      <c r="T209" s="305">
        <f>PCS!D209</f>
        <v>200375.38838220556</v>
      </c>
      <c r="U209" s="300">
        <f>Police!U209</f>
        <v>29960.049884709453</v>
      </c>
      <c r="V209" s="333">
        <f t="shared" si="19"/>
        <v>197604.61973118366</v>
      </c>
      <c r="W209" s="177"/>
      <c r="X209" s="177"/>
      <c r="Y209" s="177"/>
      <c r="Z209" s="15"/>
    </row>
    <row r="210" spans="1:26" x14ac:dyDescent="0.25">
      <c r="A210" s="108">
        <f>Données!A210</f>
        <v>5748</v>
      </c>
      <c r="B210" s="116" t="str">
        <f>Données!B210</f>
        <v>Bretonnières</v>
      </c>
      <c r="C210" s="304">
        <f>Ressources!H210</f>
        <v>-374993.48181701393</v>
      </c>
      <c r="D210" s="304">
        <f>Ressources!L210</f>
        <v>-2896</v>
      </c>
      <c r="E210" s="332">
        <f>Ressources!T210</f>
        <v>-7333.2889434187382</v>
      </c>
      <c r="F210" s="305">
        <f t="shared" si="15"/>
        <v>-385222.7707604327</v>
      </c>
      <c r="G210" s="304">
        <f>'Besoins structurels'!I210</f>
        <v>-37340</v>
      </c>
      <c r="H210" s="304">
        <f>'Besoins structurels'!N210</f>
        <v>-76</v>
      </c>
      <c r="I210" s="304">
        <f>'Besoins structurels'!V210</f>
        <v>-57131</v>
      </c>
      <c r="J210" s="306">
        <f t="shared" si="16"/>
        <v>-94547</v>
      </c>
      <c r="K210" s="304">
        <f>'Charges des villes'!N210</f>
        <v>123901.84185091051</v>
      </c>
      <c r="L210" s="304">
        <f>'Charges des villes'!U210</f>
        <v>26806.533710986016</v>
      </c>
      <c r="M210" s="299">
        <f t="shared" si="17"/>
        <v>150708.37556189654</v>
      </c>
      <c r="N210" s="305">
        <f>-VLOOKUP(A210,Paramètres!$B$23:$C$316,2,FALSE)*$N$5</f>
        <v>0</v>
      </c>
      <c r="O210" s="319"/>
      <c r="P210" s="598">
        <f t="shared" si="18"/>
        <v>-329061.39519853616</v>
      </c>
      <c r="Q210" s="599"/>
      <c r="R210" s="599"/>
      <c r="S210" s="600"/>
      <c r="T210" s="305">
        <f>PCS!D210</f>
        <v>264176.50707106706</v>
      </c>
      <c r="U210" s="300">
        <f>Police!U210</f>
        <v>39499.568255960228</v>
      </c>
      <c r="V210" s="333">
        <f t="shared" si="19"/>
        <v>-25385.31987150888</v>
      </c>
      <c r="W210" s="177"/>
      <c r="X210" s="177"/>
      <c r="Y210" s="177"/>
      <c r="Z210" s="15"/>
    </row>
    <row r="211" spans="1:26" x14ac:dyDescent="0.25">
      <c r="A211" s="108">
        <f>Données!A211</f>
        <v>5749</v>
      </c>
      <c r="B211" s="116" t="str">
        <f>Données!B211</f>
        <v>Chavornay</v>
      </c>
      <c r="C211" s="304">
        <f>Ressources!H211</f>
        <v>-5993784.5014875773</v>
      </c>
      <c r="D211" s="304">
        <f>Ressources!L211</f>
        <v>0</v>
      </c>
      <c r="E211" s="332">
        <f>Ressources!T211</f>
        <v>-276241.78555446153</v>
      </c>
      <c r="F211" s="305">
        <f t="shared" si="15"/>
        <v>-6270026.2870420385</v>
      </c>
      <c r="G211" s="304">
        <f>'Besoins structurels'!I211</f>
        <v>0</v>
      </c>
      <c r="H211" s="304">
        <f>'Besoins structurels'!N211</f>
        <v>0</v>
      </c>
      <c r="I211" s="304">
        <f>'Besoins structurels'!V211</f>
        <v>0</v>
      </c>
      <c r="J211" s="306">
        <f t="shared" si="16"/>
        <v>0</v>
      </c>
      <c r="K211" s="304">
        <f>'Charges des villes'!N211</f>
        <v>762292.61738225864</v>
      </c>
      <c r="L211" s="304">
        <f>'Charges des villes'!U211</f>
        <v>543616.27231259935</v>
      </c>
      <c r="M211" s="299">
        <f t="shared" si="17"/>
        <v>1305908.8896948579</v>
      </c>
      <c r="N211" s="305">
        <f>-VLOOKUP(A211,Paramètres!$B$23:$C$316,2,FALSE)*$N$5</f>
        <v>0</v>
      </c>
      <c r="O211" s="319"/>
      <c r="P211" s="598">
        <f t="shared" si="18"/>
        <v>-4964117.3973471802</v>
      </c>
      <c r="Q211" s="599"/>
      <c r="R211" s="599"/>
      <c r="S211" s="600"/>
      <c r="T211" s="305">
        <f>PCS!D211</f>
        <v>5357300.1849053372</v>
      </c>
      <c r="U211" s="300">
        <f>Police!U211</f>
        <v>945226.95325149992</v>
      </c>
      <c r="V211" s="333">
        <f t="shared" si="19"/>
        <v>1338409.7408096569</v>
      </c>
      <c r="W211" s="177"/>
      <c r="X211" s="177"/>
      <c r="Y211" s="177"/>
      <c r="Z211" s="15"/>
    </row>
    <row r="212" spans="1:26" x14ac:dyDescent="0.25">
      <c r="A212" s="108">
        <f>Données!A212</f>
        <v>5750</v>
      </c>
      <c r="B212" s="116" t="str">
        <f>Données!B212</f>
        <v>Les Clées</v>
      </c>
      <c r="C212" s="304">
        <f>Ressources!H212</f>
        <v>-186221.01108094028</v>
      </c>
      <c r="D212" s="304">
        <f>Ressources!L212</f>
        <v>0</v>
      </c>
      <c r="E212" s="332">
        <f>Ressources!T212</f>
        <v>-29108.372618742091</v>
      </c>
      <c r="F212" s="305">
        <f t="shared" si="15"/>
        <v>-215329.38369968237</v>
      </c>
      <c r="G212" s="304">
        <f>'Besoins structurels'!I212</f>
        <v>-58351</v>
      </c>
      <c r="H212" s="304">
        <f>'Besoins structurels'!N212</f>
        <v>0</v>
      </c>
      <c r="I212" s="304">
        <f>'Besoins structurels'!V212</f>
        <v>0</v>
      </c>
      <c r="J212" s="306">
        <f t="shared" si="16"/>
        <v>-58351</v>
      </c>
      <c r="K212" s="304">
        <f>'Charges des villes'!N212</f>
        <v>91173.053437462455</v>
      </c>
      <c r="L212" s="304">
        <f>'Charges des villes'!U212</f>
        <v>19725.562542046311</v>
      </c>
      <c r="M212" s="299">
        <f t="shared" si="17"/>
        <v>110898.61597950876</v>
      </c>
      <c r="N212" s="305">
        <f>-VLOOKUP(A212,Paramètres!$B$23:$C$316,2,FALSE)*$N$5</f>
        <v>0</v>
      </c>
      <c r="O212" s="319"/>
      <c r="P212" s="598">
        <f t="shared" si="18"/>
        <v>-162781.76772017361</v>
      </c>
      <c r="Q212" s="599"/>
      <c r="R212" s="599"/>
      <c r="S212" s="600"/>
      <c r="T212" s="305">
        <f>PCS!D212</f>
        <v>194394.0335051248</v>
      </c>
      <c r="U212" s="300">
        <f>Police!U212</f>
        <v>29065.720037404695</v>
      </c>
      <c r="V212" s="333">
        <f t="shared" si="19"/>
        <v>60677.985822355884</v>
      </c>
      <c r="W212" s="177"/>
      <c r="X212" s="177"/>
      <c r="Y212" s="177"/>
      <c r="Z212" s="15"/>
    </row>
    <row r="213" spans="1:26" x14ac:dyDescent="0.25">
      <c r="A213" s="108">
        <f>Données!A213</f>
        <v>5752</v>
      </c>
      <c r="B213" s="116" t="str">
        <f>Données!B213</f>
        <v>Croy</v>
      </c>
      <c r="C213" s="304">
        <f>Ressources!H213</f>
        <v>-420230.63453315879</v>
      </c>
      <c r="D213" s="304">
        <f>Ressources!L213</f>
        <v>0</v>
      </c>
      <c r="E213" s="332">
        <f>Ressources!T213</f>
        <v>-47201.636863829597</v>
      </c>
      <c r="F213" s="305">
        <f t="shared" si="15"/>
        <v>-467432.27139698842</v>
      </c>
      <c r="G213" s="304">
        <f>'Besoins structurels'!I213</f>
        <v>-15499</v>
      </c>
      <c r="H213" s="304">
        <f>'Besoins structurels'!N213</f>
        <v>0</v>
      </c>
      <c r="I213" s="304">
        <f>'Besoins structurels'!V213</f>
        <v>0</v>
      </c>
      <c r="J213" s="306">
        <f t="shared" si="16"/>
        <v>-15499</v>
      </c>
      <c r="K213" s="304">
        <f>'Charges des villes'!N213</f>
        <v>190762.08103838301</v>
      </c>
      <c r="L213" s="304">
        <f>'Charges des villes'!U213</f>
        <v>41271.946241819976</v>
      </c>
      <c r="M213" s="299">
        <f t="shared" si="17"/>
        <v>232034.02728020298</v>
      </c>
      <c r="N213" s="305">
        <f>-VLOOKUP(A213,Paramètres!$B$23:$C$316,2,FALSE)*$N$5</f>
        <v>-70875</v>
      </c>
      <c r="O213" s="319"/>
      <c r="P213" s="598">
        <f t="shared" si="18"/>
        <v>-321772.24411678547</v>
      </c>
      <c r="Q213" s="599"/>
      <c r="R213" s="599"/>
      <c r="S213" s="600"/>
      <c r="T213" s="305">
        <f>PCS!D213</f>
        <v>406732.1316414919</v>
      </c>
      <c r="U213" s="300">
        <f>Police!U213</f>
        <v>60814.429616723668</v>
      </c>
      <c r="V213" s="333">
        <f t="shared" si="19"/>
        <v>145774.3171414301</v>
      </c>
      <c r="W213" s="177"/>
      <c r="X213" s="177"/>
      <c r="Y213" s="177"/>
      <c r="Z213" s="15"/>
    </row>
    <row r="214" spans="1:26" x14ac:dyDescent="0.25">
      <c r="A214" s="108">
        <f>Données!A214</f>
        <v>5754</v>
      </c>
      <c r="B214" s="116" t="str">
        <f>Données!B214</f>
        <v>Juriens</v>
      </c>
      <c r="C214" s="304">
        <f>Ressources!H214</f>
        <v>-447115.87328684051</v>
      </c>
      <c r="D214" s="304">
        <f>Ressources!L214</f>
        <v>0</v>
      </c>
      <c r="E214" s="332">
        <f>Ressources!T214</f>
        <v>-36974.856171620617</v>
      </c>
      <c r="F214" s="305">
        <f t="shared" si="15"/>
        <v>-484090.72945846111</v>
      </c>
      <c r="G214" s="304">
        <f>'Besoins structurels'!I214</f>
        <v>-71982</v>
      </c>
      <c r="H214" s="304">
        <f>'Besoins structurels'!N214</f>
        <v>-30839</v>
      </c>
      <c r="I214" s="304">
        <f>'Besoins structurels'!V214</f>
        <v>0</v>
      </c>
      <c r="J214" s="306">
        <f t="shared" si="16"/>
        <v>-102821</v>
      </c>
      <c r="K214" s="304">
        <f>'Charges des villes'!N214</f>
        <v>161306.17146627975</v>
      </c>
      <c r="L214" s="304">
        <f>'Charges des villes'!U214</f>
        <v>34899.072189774248</v>
      </c>
      <c r="M214" s="299">
        <f t="shared" si="17"/>
        <v>196205.24365605399</v>
      </c>
      <c r="N214" s="305">
        <f>-VLOOKUP(A214,Paramètres!$B$23:$C$316,2,FALSE)*$N$5</f>
        <v>0</v>
      </c>
      <c r="O214" s="319"/>
      <c r="P214" s="598">
        <f t="shared" si="18"/>
        <v>-390706.48580240703</v>
      </c>
      <c r="Q214" s="599"/>
      <c r="R214" s="599"/>
      <c r="S214" s="600"/>
      <c r="T214" s="305">
        <f>PCS!D214</f>
        <v>343927.90543214389</v>
      </c>
      <c r="U214" s="300">
        <f>Police!U214</f>
        <v>51423.966220023693</v>
      </c>
      <c r="V214" s="333">
        <f t="shared" si="19"/>
        <v>4645.3858497605543</v>
      </c>
      <c r="W214" s="177"/>
      <c r="X214" s="177"/>
      <c r="Y214" s="177"/>
      <c r="Z214" s="15"/>
    </row>
    <row r="215" spans="1:26" x14ac:dyDescent="0.25">
      <c r="A215" s="108">
        <f>Données!A215</f>
        <v>5755</v>
      </c>
      <c r="B215" s="116" t="str">
        <f>Données!B215</f>
        <v>Lignerolle</v>
      </c>
      <c r="C215" s="304">
        <f>Ressources!H215</f>
        <v>-671413.82902971201</v>
      </c>
      <c r="D215" s="304">
        <f>Ressources!L215</f>
        <v>-12890</v>
      </c>
      <c r="E215" s="332">
        <f>Ressources!T215</f>
        <v>-9118.9008393406402</v>
      </c>
      <c r="F215" s="305">
        <f t="shared" si="15"/>
        <v>-693422.72986905265</v>
      </c>
      <c r="G215" s="304">
        <f>'Besoins structurels'!I215</f>
        <v>-77086</v>
      </c>
      <c r="H215" s="304">
        <f>'Besoins structurels'!N215</f>
        <v>-68580</v>
      </c>
      <c r="I215" s="304">
        <f>'Besoins structurels'!V215</f>
        <v>-56410</v>
      </c>
      <c r="J215" s="306">
        <f t="shared" si="16"/>
        <v>-202076</v>
      </c>
      <c r="K215" s="304">
        <f>'Charges des villes'!N215</f>
        <v>211334.46232683604</v>
      </c>
      <c r="L215" s="304">
        <f>'Charges des villes'!U215</f>
        <v>45722.842405153504</v>
      </c>
      <c r="M215" s="299">
        <f t="shared" si="17"/>
        <v>257057.30473198954</v>
      </c>
      <c r="N215" s="305">
        <f>-VLOOKUP(A215,Paramètres!$B$23:$C$316,2,FALSE)*$N$5</f>
        <v>-16425</v>
      </c>
      <c r="O215" s="319"/>
      <c r="P215" s="598">
        <f t="shared" si="18"/>
        <v>-654866.42513706314</v>
      </c>
      <c r="Q215" s="599"/>
      <c r="R215" s="599"/>
      <c r="S215" s="600"/>
      <c r="T215" s="305">
        <f>PCS!D215</f>
        <v>450595.40074008418</v>
      </c>
      <c r="U215" s="300">
        <f>Police!U215</f>
        <v>67372.84849695857</v>
      </c>
      <c r="V215" s="333">
        <f t="shared" si="19"/>
        <v>-136898.1759000204</v>
      </c>
      <c r="W215" s="177"/>
      <c r="X215" s="177"/>
      <c r="Y215" s="177"/>
      <c r="Z215" s="15"/>
    </row>
    <row r="216" spans="1:26" x14ac:dyDescent="0.25">
      <c r="A216" s="108">
        <f>Données!A216</f>
        <v>5756</v>
      </c>
      <c r="B216" s="116" t="str">
        <f>Données!B216</f>
        <v>Montcherand</v>
      </c>
      <c r="C216" s="304">
        <f>Ressources!H216</f>
        <v>-229345.56406454201</v>
      </c>
      <c r="D216" s="304">
        <f>Ressources!L216</f>
        <v>0</v>
      </c>
      <c r="E216" s="332">
        <f>Ressources!T216</f>
        <v>-80494.544634146616</v>
      </c>
      <c r="F216" s="305">
        <f t="shared" si="15"/>
        <v>-309840.10869868862</v>
      </c>
      <c r="G216" s="304">
        <f>'Besoins structurels'!I216</f>
        <v>0</v>
      </c>
      <c r="H216" s="304">
        <f>'Besoins structurels'!N216</f>
        <v>0</v>
      </c>
      <c r="I216" s="304">
        <f>'Besoins structurels'!V216</f>
        <v>0</v>
      </c>
      <c r="J216" s="306">
        <f t="shared" si="16"/>
        <v>0</v>
      </c>
      <c r="K216" s="304">
        <f>'Charges des villes'!N216</f>
        <v>230971.73537490491</v>
      </c>
      <c r="L216" s="304">
        <f>'Charges des villes'!U216</f>
        <v>49971.425106517323</v>
      </c>
      <c r="M216" s="299">
        <f t="shared" si="17"/>
        <v>280943.16048142221</v>
      </c>
      <c r="N216" s="305">
        <f>-VLOOKUP(A216,Paramètres!$B$23:$C$316,2,FALSE)*$N$5</f>
        <v>0</v>
      </c>
      <c r="O216" s="319"/>
      <c r="P216" s="598">
        <f t="shared" si="18"/>
        <v>-28896.948217266414</v>
      </c>
      <c r="Q216" s="599"/>
      <c r="R216" s="599"/>
      <c r="S216" s="600"/>
      <c r="T216" s="305">
        <f>PCS!D216</f>
        <v>492464.8848796495</v>
      </c>
      <c r="U216" s="300">
        <f>Police!U216</f>
        <v>73633.157428091887</v>
      </c>
      <c r="V216" s="333">
        <f t="shared" si="19"/>
        <v>537201.094090475</v>
      </c>
      <c r="W216" s="177"/>
      <c r="X216" s="177"/>
      <c r="Y216" s="177"/>
      <c r="Z216" s="15"/>
    </row>
    <row r="217" spans="1:26" x14ac:dyDescent="0.25">
      <c r="A217" s="108">
        <f>Données!A217</f>
        <v>5757</v>
      </c>
      <c r="B217" s="116" t="str">
        <f>Données!B217</f>
        <v>Orbe</v>
      </c>
      <c r="C217" s="304">
        <f>Ressources!H217</f>
        <v>-8742026.5259331763</v>
      </c>
      <c r="D217" s="304">
        <f>Ressources!L217</f>
        <v>0</v>
      </c>
      <c r="E217" s="332">
        <f>Ressources!T217</f>
        <v>-19960.77354300837</v>
      </c>
      <c r="F217" s="305">
        <f t="shared" si="15"/>
        <v>-8761987.299476184</v>
      </c>
      <c r="G217" s="304">
        <f>'Besoins structurels'!I217</f>
        <v>0</v>
      </c>
      <c r="H217" s="304">
        <f>'Besoins structurels'!N217</f>
        <v>0</v>
      </c>
      <c r="I217" s="304">
        <f>'Besoins structurels'!V217</f>
        <v>0</v>
      </c>
      <c r="J217" s="306">
        <f t="shared" si="16"/>
        <v>0</v>
      </c>
      <c r="K217" s="304">
        <f>'Charges des villes'!N217</f>
        <v>585643.22634811234</v>
      </c>
      <c r="L217" s="304">
        <f>'Charges des villes'!U217</f>
        <v>595911.94172670203</v>
      </c>
      <c r="M217" s="299">
        <f t="shared" si="17"/>
        <v>1181555.1680748144</v>
      </c>
      <c r="N217" s="305">
        <f>-VLOOKUP(A217,Paramètres!$B$23:$C$316,2,FALSE)*$N$5</f>
        <v>-772875</v>
      </c>
      <c r="O217" s="319"/>
      <c r="P217" s="598">
        <f>F217+J217+M217+N217</f>
        <v>-8353307.1314013693</v>
      </c>
      <c r="Q217" s="599"/>
      <c r="R217" s="599"/>
      <c r="S217" s="600"/>
      <c r="T217" s="305">
        <f>PCS!D217</f>
        <v>7983114.9759437917</v>
      </c>
      <c r="U217" s="300">
        <f>Police!U217</f>
        <v>1470001.06161875</v>
      </c>
      <c r="V217" s="333">
        <f t="shared" si="19"/>
        <v>1099808.9061611723</v>
      </c>
      <c r="W217" s="177"/>
      <c r="X217" s="177"/>
      <c r="Y217" s="177"/>
      <c r="Z217" s="15"/>
    </row>
    <row r="218" spans="1:26" x14ac:dyDescent="0.25">
      <c r="A218" s="108">
        <f>Données!A218</f>
        <v>5758</v>
      </c>
      <c r="B218" s="116" t="str">
        <f>Données!B218</f>
        <v>La Praz</v>
      </c>
      <c r="C218" s="304">
        <f>Ressources!H218</f>
        <v>-286890.93696551328</v>
      </c>
      <c r="D218" s="304">
        <f>Ressources!L218</f>
        <v>0</v>
      </c>
      <c r="E218" s="332">
        <f>Ressources!T218</f>
        <v>-23624.409335440036</v>
      </c>
      <c r="F218" s="305">
        <f t="shared" si="15"/>
        <v>-310515.3463009533</v>
      </c>
      <c r="G218" s="304">
        <f>'Besoins structurels'!I218</f>
        <v>-37474</v>
      </c>
      <c r="H218" s="304">
        <f>'Besoins structurels'!N218</f>
        <v>-27309</v>
      </c>
      <c r="I218" s="304">
        <f>'Besoins structurels'!V218</f>
        <v>0</v>
      </c>
      <c r="J218" s="306">
        <f t="shared" si="16"/>
        <v>-64783</v>
      </c>
      <c r="K218" s="304">
        <f>'Charges des villes'!N218</f>
        <v>100056.58172111264</v>
      </c>
      <c r="L218" s="304">
        <f>'Charges des villes'!U218</f>
        <v>21647.540430758516</v>
      </c>
      <c r="M218" s="299">
        <f t="shared" si="17"/>
        <v>121704.12215187115</v>
      </c>
      <c r="N218" s="305">
        <f>-VLOOKUP(A218,Paramètres!$B$23:$C$316,2,FALSE)*$N$5</f>
        <v>0</v>
      </c>
      <c r="O218" s="319"/>
      <c r="P218" s="598">
        <f t="shared" si="18"/>
        <v>-253594.22414908215</v>
      </c>
      <c r="Q218" s="599"/>
      <c r="R218" s="599"/>
      <c r="S218" s="600"/>
      <c r="T218" s="305">
        <f>PCS!D218</f>
        <v>213334.99061588055</v>
      </c>
      <c r="U218" s="300">
        <f>Police!U218</f>
        <v>31897.764553869769</v>
      </c>
      <c r="V218" s="333">
        <f t="shared" si="19"/>
        <v>-8361.4689793318248</v>
      </c>
      <c r="W218" s="177"/>
      <c r="X218" s="177"/>
      <c r="Y218" s="177"/>
      <c r="Z218" s="15"/>
    </row>
    <row r="219" spans="1:26" x14ac:dyDescent="0.25">
      <c r="A219" s="108">
        <f>Données!A219</f>
        <v>5759</v>
      </c>
      <c r="B219" s="116" t="str">
        <f>Données!B219</f>
        <v>Premier</v>
      </c>
      <c r="C219" s="304">
        <f>Ressources!H219</f>
        <v>-351808.98924918397</v>
      </c>
      <c r="D219" s="304">
        <f>Ressources!L219</f>
        <v>-8071</v>
      </c>
      <c r="E219" s="332">
        <f>Ressources!T219</f>
        <v>-32702.896052137985</v>
      </c>
      <c r="F219" s="305">
        <f t="shared" si="15"/>
        <v>-392582.88530132198</v>
      </c>
      <c r="G219" s="304">
        <f>'Besoins structurels'!I219</f>
        <v>-46001</v>
      </c>
      <c r="H219" s="304">
        <f>'Besoins structurels'!N219</f>
        <v>-28638</v>
      </c>
      <c r="I219" s="304">
        <f>'Besoins structurels'!V219</f>
        <v>-31505</v>
      </c>
      <c r="J219" s="306">
        <f t="shared" si="16"/>
        <v>-106144</v>
      </c>
      <c r="K219" s="304">
        <f>'Charges des villes'!N219</f>
        <v>108940.11000476284</v>
      </c>
      <c r="L219" s="304">
        <f>'Charges des villes'!U219</f>
        <v>23569.518319470721</v>
      </c>
      <c r="M219" s="299">
        <f t="shared" si="17"/>
        <v>132509.62832423358</v>
      </c>
      <c r="N219" s="305">
        <f>-VLOOKUP(A219,Paramètres!$B$23:$C$316,2,FALSE)*$N$5</f>
        <v>0</v>
      </c>
      <c r="O219" s="319"/>
      <c r="P219" s="598">
        <f t="shared" si="18"/>
        <v>-366217.2569770884</v>
      </c>
      <c r="Q219" s="599"/>
      <c r="R219" s="599"/>
      <c r="S219" s="600"/>
      <c r="T219" s="305">
        <f>PCS!D219</f>
        <v>232275.94772663631</v>
      </c>
      <c r="U219" s="300">
        <f>Police!U219</f>
        <v>34729.809070334843</v>
      </c>
      <c r="V219" s="333">
        <f t="shared" si="19"/>
        <v>-99211.500180117248</v>
      </c>
      <c r="W219" s="177"/>
      <c r="X219" s="177"/>
      <c r="Y219" s="177"/>
      <c r="Z219" s="15"/>
    </row>
    <row r="220" spans="1:26" x14ac:dyDescent="0.25">
      <c r="A220" s="108">
        <f>Données!A220</f>
        <v>5760</v>
      </c>
      <c r="B220" s="116" t="str">
        <f>Données!B220</f>
        <v>Rances</v>
      </c>
      <c r="C220" s="304">
        <f>Ressources!H220</f>
        <v>-789121.21994968946</v>
      </c>
      <c r="D220" s="304">
        <f>Ressources!L220</f>
        <v>-21404</v>
      </c>
      <c r="E220" s="332">
        <f>Ressources!T220</f>
        <v>-81913.776350844579</v>
      </c>
      <c r="F220" s="305">
        <f t="shared" si="15"/>
        <v>-892438.996300534</v>
      </c>
      <c r="G220" s="304">
        <f>'Besoins structurels'!I220</f>
        <v>-63854</v>
      </c>
      <c r="H220" s="304">
        <f>'Besoins structurels'!N220</f>
        <v>0</v>
      </c>
      <c r="I220" s="304">
        <f>'Besoins structurels'!V220</f>
        <v>0</v>
      </c>
      <c r="J220" s="306">
        <f t="shared" si="16"/>
        <v>-63854</v>
      </c>
      <c r="K220" s="304">
        <f>'Charges des villes'!N220</f>
        <v>239855.26365855505</v>
      </c>
      <c r="L220" s="304">
        <f>'Charges des villes'!U220</f>
        <v>51893.402995229531</v>
      </c>
      <c r="M220" s="299">
        <f t="shared" si="17"/>
        <v>291748.66665378457</v>
      </c>
      <c r="N220" s="305">
        <f>-VLOOKUP(A220,Paramètres!$B$23:$C$316,2,FALSE)*$N$5</f>
        <v>-14550</v>
      </c>
      <c r="O220" s="319"/>
      <c r="P220" s="598">
        <f t="shared" si="18"/>
        <v>-679094.32964674942</v>
      </c>
      <c r="Q220" s="599"/>
      <c r="R220" s="599"/>
      <c r="S220" s="600"/>
      <c r="T220" s="305">
        <f>PCS!D220</f>
        <v>511405.84199040529</v>
      </c>
      <c r="U220" s="300">
        <f>Police!U220</f>
        <v>76465.20194455696</v>
      </c>
      <c r="V220" s="333">
        <f t="shared" si="19"/>
        <v>-91223.285711787175</v>
      </c>
      <c r="W220" s="177"/>
      <c r="X220" s="177"/>
      <c r="Y220" s="177"/>
      <c r="Z220" s="15"/>
    </row>
    <row r="221" spans="1:26" x14ac:dyDescent="0.25">
      <c r="A221" s="108">
        <f>Données!A221</f>
        <v>5761</v>
      </c>
      <c r="B221" s="116" t="str">
        <f>Données!B221</f>
        <v>Romainmôtier-Envy</v>
      </c>
      <c r="C221" s="304">
        <f>Ressources!H221</f>
        <v>-829604.01642068545</v>
      </c>
      <c r="D221" s="304">
        <f>Ressources!L221</f>
        <v>-8897</v>
      </c>
      <c r="E221" s="332">
        <f>Ressources!T221</f>
        <v>-26913.242314111136</v>
      </c>
      <c r="F221" s="305">
        <f t="shared" si="15"/>
        <v>-865414.25873479655</v>
      </c>
      <c r="G221" s="304">
        <f>'Besoins structurels'!I221</f>
        <v>-27980</v>
      </c>
      <c r="H221" s="304">
        <f>'Besoins structurels'!N221</f>
        <v>-799</v>
      </c>
      <c r="I221" s="304">
        <f>'Besoins structurels'!V221</f>
        <v>0</v>
      </c>
      <c r="J221" s="306">
        <f t="shared" si="16"/>
        <v>-28779</v>
      </c>
      <c r="K221" s="304">
        <f>'Charges des villes'!N221</f>
        <v>270713.83559123467</v>
      </c>
      <c r="L221" s="304">
        <f>'Charges des villes'!U221</f>
        <v>58569.747240229823</v>
      </c>
      <c r="M221" s="299">
        <f t="shared" si="17"/>
        <v>329283.58283146448</v>
      </c>
      <c r="N221" s="305">
        <f>-VLOOKUP(A221,Paramètres!$B$23:$C$316,2,FALSE)*$N$5</f>
        <v>-44550</v>
      </c>
      <c r="O221" s="319"/>
      <c r="P221" s="598">
        <f t="shared" si="18"/>
        <v>-609459.67590333207</v>
      </c>
      <c r="Q221" s="599"/>
      <c r="R221" s="599"/>
      <c r="S221" s="600"/>
      <c r="T221" s="305">
        <f>PCS!D221</f>
        <v>577200.74563829368</v>
      </c>
      <c r="U221" s="300">
        <f>Police!U221</f>
        <v>86302.830264909324</v>
      </c>
      <c r="V221" s="333">
        <f t="shared" si="19"/>
        <v>54043.899999870933</v>
      </c>
      <c r="W221" s="177"/>
      <c r="X221" s="177"/>
      <c r="Y221" s="177"/>
      <c r="Z221" s="15"/>
    </row>
    <row r="222" spans="1:26" x14ac:dyDescent="0.25">
      <c r="A222" s="108">
        <f>Données!A222</f>
        <v>5762</v>
      </c>
      <c r="B222" s="116" t="str">
        <f>Données!B222</f>
        <v>Sergey</v>
      </c>
      <c r="C222" s="304">
        <f>Ressources!H222</f>
        <v>-178807.87941895099</v>
      </c>
      <c r="D222" s="304">
        <f>Ressources!L222</f>
        <v>0</v>
      </c>
      <c r="E222" s="332">
        <f>Ressources!T222</f>
        <v>-23214.639908166384</v>
      </c>
      <c r="F222" s="305">
        <f t="shared" si="15"/>
        <v>-202022.51932711736</v>
      </c>
      <c r="G222" s="304">
        <f>'Besoins structurels'!I222</f>
        <v>-2484</v>
      </c>
      <c r="H222" s="304">
        <f>'Besoins structurels'!N222</f>
        <v>0</v>
      </c>
      <c r="I222" s="304">
        <f>'Besoins structurels'!V222</f>
        <v>0</v>
      </c>
      <c r="J222" s="306">
        <f t="shared" si="16"/>
        <v>-2484</v>
      </c>
      <c r="K222" s="304">
        <f>'Charges des villes'!N222</f>
        <v>77146.429831699003</v>
      </c>
      <c r="L222" s="304">
        <f>'Charges des villes'!U222</f>
        <v>16690.860612500725</v>
      </c>
      <c r="M222" s="299">
        <f t="shared" si="17"/>
        <v>93837.290444199723</v>
      </c>
      <c r="N222" s="305">
        <f>-VLOOKUP(A222,Paramètres!$B$23:$C$316,2,FALSE)*$N$5</f>
        <v>-6900</v>
      </c>
      <c r="O222" s="319"/>
      <c r="P222" s="598">
        <f t="shared" si="18"/>
        <v>-117569.22888291764</v>
      </c>
      <c r="Q222" s="599"/>
      <c r="R222" s="599"/>
      <c r="S222" s="600"/>
      <c r="T222" s="305">
        <f>PCS!D222</f>
        <v>164487.25911972098</v>
      </c>
      <c r="U222" s="300">
        <f>Police!U222</f>
        <v>24594.070800880894</v>
      </c>
      <c r="V222" s="333">
        <f t="shared" si="19"/>
        <v>71512.101037684246</v>
      </c>
      <c r="W222" s="177"/>
      <c r="X222" s="177"/>
      <c r="Y222" s="177"/>
      <c r="Z222" s="15"/>
    </row>
    <row r="223" spans="1:26" x14ac:dyDescent="0.25">
      <c r="A223" s="108">
        <f>Données!A223</f>
        <v>5763</v>
      </c>
      <c r="B223" s="116" t="str">
        <f>Données!B223</f>
        <v>Valeyres-sous-Rances</v>
      </c>
      <c r="C223" s="304">
        <f>Ressources!H223</f>
        <v>-647260.62110435113</v>
      </c>
      <c r="D223" s="304">
        <f>Ressources!L223</f>
        <v>0</v>
      </c>
      <c r="E223" s="332">
        <f>Ressources!T223</f>
        <v>-41653.266771996001</v>
      </c>
      <c r="F223" s="305">
        <f t="shared" si="15"/>
        <v>-688913.88787634717</v>
      </c>
      <c r="G223" s="304">
        <f>'Besoins structurels'!I223</f>
        <v>-21404</v>
      </c>
      <c r="H223" s="304">
        <f>'Besoins structurels'!N223</f>
        <v>0</v>
      </c>
      <c r="I223" s="304">
        <f>'Besoins structurels'!V223</f>
        <v>-46873</v>
      </c>
      <c r="J223" s="306">
        <f t="shared" si="16"/>
        <v>-68277</v>
      </c>
      <c r="K223" s="304">
        <f>'Charges des villes'!N223</f>
        <v>267908.51087008195</v>
      </c>
      <c r="L223" s="304">
        <f>'Charges des villes'!U223</f>
        <v>57962.806854320705</v>
      </c>
      <c r="M223" s="299">
        <f t="shared" si="17"/>
        <v>325871.31772440264</v>
      </c>
      <c r="N223" s="305">
        <f>-VLOOKUP(A223,Paramètres!$B$23:$C$316,2,FALSE)*$N$5</f>
        <v>0</v>
      </c>
      <c r="O223" s="319"/>
      <c r="P223" s="598">
        <f t="shared" si="18"/>
        <v>-431319.57015194453</v>
      </c>
      <c r="Q223" s="599"/>
      <c r="R223" s="599"/>
      <c r="S223" s="600"/>
      <c r="T223" s="305">
        <f>PCS!D223</f>
        <v>571219.39076121291</v>
      </c>
      <c r="U223" s="300">
        <f>Police!U223</f>
        <v>85408.500417604577</v>
      </c>
      <c r="V223" s="333">
        <f t="shared" si="19"/>
        <v>225308.32102687296</v>
      </c>
      <c r="W223" s="177"/>
      <c r="X223" s="177"/>
      <c r="Y223" s="177"/>
      <c r="Z223" s="15"/>
    </row>
    <row r="224" spans="1:26" x14ac:dyDescent="0.25">
      <c r="A224" s="108">
        <f>Données!A224</f>
        <v>5764</v>
      </c>
      <c r="B224" s="116" t="str">
        <f>Données!B224</f>
        <v>Vallorbe</v>
      </c>
      <c r="C224" s="304">
        <f>Ressources!H224</f>
        <v>-6833722.90060033</v>
      </c>
      <c r="D224" s="304">
        <f>Ressources!L224</f>
        <v>-188282</v>
      </c>
      <c r="E224" s="332">
        <f>Ressources!T224</f>
        <v>399205.58437691058</v>
      </c>
      <c r="F224" s="305">
        <f t="shared" si="15"/>
        <v>-6622799.3162234193</v>
      </c>
      <c r="G224" s="304">
        <f>'Besoins structurels'!I224</f>
        <v>0</v>
      </c>
      <c r="H224" s="304">
        <f>'Besoins structurels'!N224</f>
        <v>-1256840</v>
      </c>
      <c r="I224" s="304">
        <f>'Besoins structurels'!V224</f>
        <v>0</v>
      </c>
      <c r="J224" s="306">
        <f t="shared" si="16"/>
        <v>-1256840</v>
      </c>
      <c r="K224" s="304">
        <f>'Charges des villes'!N224</f>
        <v>825333.78198821843</v>
      </c>
      <c r="L224" s="304">
        <f>'Charges des villes'!U224</f>
        <v>448528.94518683769</v>
      </c>
      <c r="M224" s="299">
        <f t="shared" si="17"/>
        <v>1273862.727175056</v>
      </c>
      <c r="N224" s="305">
        <f>-VLOOKUP(A224,Paramètres!$B$23:$C$316,2,FALSE)*$N$5</f>
        <v>-260700</v>
      </c>
      <c r="O224" s="319"/>
      <c r="P224" s="598">
        <f t="shared" si="18"/>
        <v>-6866476.5890483633</v>
      </c>
      <c r="Q224" s="599"/>
      <c r="R224" s="599"/>
      <c r="S224" s="600"/>
      <c r="T224" s="305">
        <f>PCS!D224</f>
        <v>4420221.2541626841</v>
      </c>
      <c r="U224" s="300">
        <f>Police!U224</f>
        <v>765049.82563151128</v>
      </c>
      <c r="V224" s="333">
        <f t="shared" si="19"/>
        <v>-1681205.5092541678</v>
      </c>
      <c r="W224" s="177"/>
      <c r="X224" s="177"/>
      <c r="Y224" s="177"/>
      <c r="Z224" s="15"/>
    </row>
    <row r="225" spans="1:26" x14ac:dyDescent="0.25">
      <c r="A225" s="108">
        <f>Données!A225</f>
        <v>5765</v>
      </c>
      <c r="B225" s="116" t="str">
        <f>Données!B225</f>
        <v>Vaulion</v>
      </c>
      <c r="C225" s="304">
        <f>Ressources!H225</f>
        <v>-829988.04230410093</v>
      </c>
      <c r="D225" s="304">
        <f>Ressources!L225</f>
        <v>-36077</v>
      </c>
      <c r="E225" s="332">
        <f>Ressources!T225</f>
        <v>-30587.785176261779</v>
      </c>
      <c r="F225" s="305">
        <f t="shared" si="15"/>
        <v>-896652.82748036273</v>
      </c>
      <c r="G225" s="304">
        <f>'Besoins structurels'!I225</f>
        <v>-100502</v>
      </c>
      <c r="H225" s="304">
        <f>'Besoins structurels'!N225</f>
        <v>-79097</v>
      </c>
      <c r="I225" s="304">
        <f>'Besoins structurels'!V225</f>
        <v>0</v>
      </c>
      <c r="J225" s="306">
        <f t="shared" si="16"/>
        <v>-179599</v>
      </c>
      <c r="K225" s="304">
        <f>'Charges des villes'!N225</f>
        <v>233777.0600960576</v>
      </c>
      <c r="L225" s="304">
        <f>'Charges des villes'!U225</f>
        <v>50578.365492426441</v>
      </c>
      <c r="M225" s="299">
        <f t="shared" si="17"/>
        <v>284355.42558848404</v>
      </c>
      <c r="N225" s="305">
        <f>-VLOOKUP(A225,Paramètres!$B$23:$C$316,2,FALSE)*$N$5</f>
        <v>0</v>
      </c>
      <c r="O225" s="319"/>
      <c r="P225" s="598">
        <f t="shared" si="18"/>
        <v>-791896.40189187869</v>
      </c>
      <c r="Q225" s="599"/>
      <c r="R225" s="599"/>
      <c r="S225" s="600"/>
      <c r="T225" s="305">
        <f>PCS!D225</f>
        <v>498446.23975673027</v>
      </c>
      <c r="U225" s="300">
        <f>Police!U225</f>
        <v>74527.487275396648</v>
      </c>
      <c r="V225" s="333">
        <f t="shared" si="19"/>
        <v>-218922.67485975177</v>
      </c>
      <c r="W225" s="177"/>
      <c r="X225" s="177"/>
      <c r="Y225" s="177"/>
      <c r="Z225" s="15"/>
    </row>
    <row r="226" spans="1:26" x14ac:dyDescent="0.25">
      <c r="A226" s="108">
        <f>Données!A226</f>
        <v>5766</v>
      </c>
      <c r="B226" s="116" t="str">
        <f>Données!B226</f>
        <v>Vuiteboeuf</v>
      </c>
      <c r="C226" s="304">
        <f>Ressources!H226</f>
        <v>-870250.73875024857</v>
      </c>
      <c r="D226" s="304">
        <f>Ressources!L226</f>
        <v>-6374</v>
      </c>
      <c r="E226" s="332">
        <f>Ressources!T226</f>
        <v>-85618.340657154506</v>
      </c>
      <c r="F226" s="305">
        <f t="shared" si="15"/>
        <v>-962243.07940740301</v>
      </c>
      <c r="G226" s="304">
        <f>'Besoins structurels'!I226</f>
        <v>-5018</v>
      </c>
      <c r="H226" s="304">
        <f>'Besoins structurels'!N226</f>
        <v>0</v>
      </c>
      <c r="I226" s="304">
        <f>'Besoins structurels'!V226</f>
        <v>0</v>
      </c>
      <c r="J226" s="306">
        <f t="shared" si="16"/>
        <v>-5018</v>
      </c>
      <c r="K226" s="304">
        <f>'Charges des villes'!N226</f>
        <v>288013.33803834295</v>
      </c>
      <c r="L226" s="304">
        <f>'Charges des villes'!U226</f>
        <v>62312.546286669378</v>
      </c>
      <c r="M226" s="299">
        <f t="shared" si="17"/>
        <v>350325.88432501233</v>
      </c>
      <c r="N226" s="305">
        <f>-VLOOKUP(A226,Paramètres!$B$23:$C$316,2,FALSE)*$N$5</f>
        <v>-36450</v>
      </c>
      <c r="O226" s="319"/>
      <c r="P226" s="598">
        <f t="shared" si="18"/>
        <v>-653385.19508239068</v>
      </c>
      <c r="Q226" s="599"/>
      <c r="R226" s="599"/>
      <c r="S226" s="600"/>
      <c r="T226" s="305">
        <f>PCS!D226</f>
        <v>614085.76738029171</v>
      </c>
      <c r="U226" s="300">
        <f>Police!U226</f>
        <v>91817.864323288668</v>
      </c>
      <c r="V226" s="333">
        <f t="shared" si="19"/>
        <v>52518.4366211897</v>
      </c>
      <c r="W226" s="177"/>
      <c r="X226" s="177"/>
      <c r="Y226" s="177"/>
      <c r="Z226" s="15"/>
    </row>
    <row r="227" spans="1:26" x14ac:dyDescent="0.25">
      <c r="A227" s="108">
        <f>Données!A227</f>
        <v>5785</v>
      </c>
      <c r="B227" s="116" t="str">
        <f>Données!B227</f>
        <v>Corcelles-le-Jorat</v>
      </c>
      <c r="C227" s="304">
        <f>Ressources!H227</f>
        <v>-375886.57706655486</v>
      </c>
      <c r="D227" s="304">
        <f>Ressources!L227</f>
        <v>0</v>
      </c>
      <c r="E227" s="332">
        <f>Ressources!T227</f>
        <v>-26163.319724499146</v>
      </c>
      <c r="F227" s="305">
        <f t="shared" si="15"/>
        <v>-402049.89679105399</v>
      </c>
      <c r="G227" s="304">
        <f>'Besoins structurels'!I227</f>
        <v>-45089</v>
      </c>
      <c r="H227" s="304">
        <f>'Besoins structurels'!N227</f>
        <v>-19213</v>
      </c>
      <c r="I227" s="304">
        <f>'Besoins structurels'!V227</f>
        <v>-6770</v>
      </c>
      <c r="J227" s="306">
        <f t="shared" si="16"/>
        <v>-71072</v>
      </c>
      <c r="K227" s="304">
        <f>'Charges des villes'!N227</f>
        <v>231439.28949509701</v>
      </c>
      <c r="L227" s="304">
        <f>'Charges des villes'!U227</f>
        <v>50072.581837502177</v>
      </c>
      <c r="M227" s="299">
        <f t="shared" si="17"/>
        <v>281511.8713325992</v>
      </c>
      <c r="N227" s="305">
        <f>-VLOOKUP(A227,Paramètres!$B$23:$C$316,2,FALSE)*$N$5</f>
        <v>0</v>
      </c>
      <c r="O227" s="319"/>
      <c r="P227" s="598">
        <f t="shared" si="18"/>
        <v>-191610.02545845479</v>
      </c>
      <c r="Q227" s="599"/>
      <c r="R227" s="599"/>
      <c r="S227" s="600"/>
      <c r="T227" s="305">
        <f>PCS!D227</f>
        <v>493461.77735916298</v>
      </c>
      <c r="U227" s="300">
        <f>Police!U227</f>
        <v>73782.212402642675</v>
      </c>
      <c r="V227" s="333">
        <f t="shared" si="19"/>
        <v>375633.96430335089</v>
      </c>
      <c r="W227" s="177"/>
      <c r="X227" s="177"/>
      <c r="Y227" s="177"/>
      <c r="Z227" s="15"/>
    </row>
    <row r="228" spans="1:26" x14ac:dyDescent="0.25">
      <c r="A228" s="108">
        <f>Données!A228</f>
        <v>5790</v>
      </c>
      <c r="B228" s="116" t="str">
        <f>Données!B228</f>
        <v>Maracon</v>
      </c>
      <c r="C228" s="304">
        <f>Ressources!H228</f>
        <v>-581279.03891485126</v>
      </c>
      <c r="D228" s="304">
        <f>Ressources!L228</f>
        <v>0</v>
      </c>
      <c r="E228" s="332">
        <f>Ressources!T228</f>
        <v>-96432.52104917579</v>
      </c>
      <c r="F228" s="305">
        <f t="shared" si="15"/>
        <v>-677711.55996402702</v>
      </c>
      <c r="G228" s="304">
        <f>'Besoins structurels'!I228</f>
        <v>-447</v>
      </c>
      <c r="H228" s="304">
        <f>'Besoins structurels'!N228</f>
        <v>-21930</v>
      </c>
      <c r="I228" s="304">
        <f>'Besoins structurels'!V228</f>
        <v>-25016</v>
      </c>
      <c r="J228" s="306">
        <f t="shared" si="16"/>
        <v>-47393</v>
      </c>
      <c r="K228" s="304">
        <f>'Charges des villes'!N228</f>
        <v>264168.07790854509</v>
      </c>
      <c r="L228" s="304">
        <f>'Charges des villes'!U228</f>
        <v>57153.553006441878</v>
      </c>
      <c r="M228" s="299">
        <f t="shared" si="17"/>
        <v>321321.63091498695</v>
      </c>
      <c r="N228" s="305">
        <f>-VLOOKUP(A228,Paramètres!$B$23:$C$316,2,FALSE)*$N$5</f>
        <v>-825</v>
      </c>
      <c r="O228" s="319"/>
      <c r="P228" s="598">
        <f t="shared" si="18"/>
        <v>-404607.92904904007</v>
      </c>
      <c r="Q228" s="599"/>
      <c r="R228" s="599"/>
      <c r="S228" s="600"/>
      <c r="T228" s="305">
        <f>PCS!D228</f>
        <v>563244.25092510518</v>
      </c>
      <c r="U228" s="300">
        <f>Police!U228</f>
        <v>84216.060621198209</v>
      </c>
      <c r="V228" s="333">
        <f t="shared" si="19"/>
        <v>242852.38249726332</v>
      </c>
      <c r="W228" s="177"/>
      <c r="X228" s="177"/>
      <c r="Y228" s="177"/>
      <c r="Z228" s="15"/>
    </row>
    <row r="229" spans="1:26" x14ac:dyDescent="0.25">
      <c r="A229" s="108">
        <f>Données!A229</f>
        <v>5792</v>
      </c>
      <c r="B229" s="116" t="str">
        <f>Données!B229</f>
        <v>Montpreveyres</v>
      </c>
      <c r="C229" s="304">
        <f>Ressources!H229</f>
        <v>-610138.27439518599</v>
      </c>
      <c r="D229" s="304">
        <f>Ressources!L229</f>
        <v>0</v>
      </c>
      <c r="E229" s="332">
        <f>Ressources!T229</f>
        <v>-6510.5705361907603</v>
      </c>
      <c r="F229" s="305">
        <f t="shared" si="15"/>
        <v>-616648.84493137675</v>
      </c>
      <c r="G229" s="304">
        <f>'Besoins structurels'!I229</f>
        <v>0</v>
      </c>
      <c r="H229" s="304">
        <f>'Besoins structurels'!N229</f>
        <v>-37431</v>
      </c>
      <c r="I229" s="304">
        <f>'Besoins structurels'!V229</f>
        <v>0</v>
      </c>
      <c r="J229" s="306">
        <f t="shared" si="16"/>
        <v>-37431</v>
      </c>
      <c r="K229" s="304">
        <f>'Charges des villes'!N229</f>
        <v>313261.26052871719</v>
      </c>
      <c r="L229" s="304">
        <f>'Charges des villes'!U229</f>
        <v>67775.009759851426</v>
      </c>
      <c r="M229" s="299">
        <f t="shared" si="17"/>
        <v>381036.27028856863</v>
      </c>
      <c r="N229" s="305">
        <f>-VLOOKUP(A229,Paramètres!$B$23:$C$316,2,FALSE)*$N$5</f>
        <v>-48675</v>
      </c>
      <c r="O229" s="319"/>
      <c r="P229" s="598">
        <f t="shared" si="18"/>
        <v>-321718.57464280812</v>
      </c>
      <c r="Q229" s="599"/>
      <c r="R229" s="599"/>
      <c r="S229" s="600"/>
      <c r="T229" s="305">
        <f>PCS!D229</f>
        <v>667917.96127401863</v>
      </c>
      <c r="U229" s="300">
        <f>Police!U229</f>
        <v>99866.832949031523</v>
      </c>
      <c r="V229" s="333">
        <f t="shared" si="19"/>
        <v>446066.21958024206</v>
      </c>
      <c r="W229" s="177"/>
      <c r="X229" s="177"/>
      <c r="Y229" s="177"/>
      <c r="Z229" s="15"/>
    </row>
    <row r="230" spans="1:26" x14ac:dyDescent="0.25">
      <c r="A230" s="108">
        <f>Données!A230</f>
        <v>5798</v>
      </c>
      <c r="B230" s="116" t="str">
        <f>Données!B230</f>
        <v>Ropraz</v>
      </c>
      <c r="C230" s="304">
        <f>Ressources!H230</f>
        <v>-570554.43713060045</v>
      </c>
      <c r="D230" s="304">
        <f>Ressources!L230</f>
        <v>0</v>
      </c>
      <c r="E230" s="332">
        <f>Ressources!T230</f>
        <v>-36351.163338600105</v>
      </c>
      <c r="F230" s="305">
        <f t="shared" si="15"/>
        <v>-606905.60046920052</v>
      </c>
      <c r="G230" s="304">
        <f>'Besoins structurels'!I230</f>
        <v>-7772</v>
      </c>
      <c r="H230" s="304">
        <f>'Besoins structurels'!N230</f>
        <v>-29151</v>
      </c>
      <c r="I230" s="304">
        <f>'Besoins structurels'!V230</f>
        <v>-47624</v>
      </c>
      <c r="J230" s="306">
        <f t="shared" si="16"/>
        <v>-84547</v>
      </c>
      <c r="K230" s="304">
        <f>'Charges des villes'!N230</f>
        <v>250141.45430278161</v>
      </c>
      <c r="L230" s="304">
        <f>'Charges des villes'!U230</f>
        <v>54118.851076896295</v>
      </c>
      <c r="M230" s="299">
        <f t="shared" si="17"/>
        <v>304260.30537967791</v>
      </c>
      <c r="N230" s="305">
        <f>-VLOOKUP(A230,Paramètres!$B$23:$C$316,2,FALSE)*$N$5</f>
        <v>0</v>
      </c>
      <c r="O230" s="319"/>
      <c r="P230" s="598">
        <f t="shared" si="18"/>
        <v>-387192.29508952261</v>
      </c>
      <c r="Q230" s="599"/>
      <c r="R230" s="599"/>
      <c r="S230" s="600"/>
      <c r="T230" s="305">
        <f>PCS!D230</f>
        <v>533337.47653970146</v>
      </c>
      <c r="U230" s="300">
        <f>Police!U230</f>
        <v>79744.411384674415</v>
      </c>
      <c r="V230" s="333">
        <f t="shared" si="19"/>
        <v>225889.59283485328</v>
      </c>
      <c r="W230" s="177"/>
      <c r="X230" s="177"/>
      <c r="Y230" s="177"/>
      <c r="Z230" s="15"/>
    </row>
    <row r="231" spans="1:26" x14ac:dyDescent="0.25">
      <c r="A231" s="108">
        <f>Données!A231</f>
        <v>5799</v>
      </c>
      <c r="B231" s="116" t="str">
        <f>Données!B231</f>
        <v>Servion</v>
      </c>
      <c r="C231" s="304">
        <f>Ressources!H231</f>
        <v>-1775628.7583421592</v>
      </c>
      <c r="D231" s="304">
        <f>Ressources!L231</f>
        <v>0</v>
      </c>
      <c r="E231" s="332">
        <f>Ressources!T231</f>
        <v>-265655.42748000525</v>
      </c>
      <c r="F231" s="305">
        <f t="shared" si="15"/>
        <v>-2041284.1858221644</v>
      </c>
      <c r="G231" s="304">
        <f>'Besoins structurels'!I231</f>
        <v>0</v>
      </c>
      <c r="H231" s="304">
        <f>'Besoins structurels'!N231</f>
        <v>-88299</v>
      </c>
      <c r="I231" s="304">
        <f>'Besoins structurels'!V231</f>
        <v>-120542</v>
      </c>
      <c r="J231" s="306">
        <f t="shared" si="16"/>
        <v>-208841</v>
      </c>
      <c r="K231" s="304">
        <f>'Charges des villes'!N231</f>
        <v>749230.69729711756</v>
      </c>
      <c r="L231" s="304">
        <f>'Charges des villes'!U231</f>
        <v>226692.23413705532</v>
      </c>
      <c r="M231" s="299">
        <f t="shared" si="17"/>
        <v>975922.9314341729</v>
      </c>
      <c r="N231" s="305">
        <f>-VLOOKUP(A231,Paramètres!$B$23:$C$316,2,FALSE)*$N$5</f>
        <v>0</v>
      </c>
      <c r="O231" s="319"/>
      <c r="P231" s="598">
        <f t="shared" si="18"/>
        <v>-1274202.2543879917</v>
      </c>
      <c r="Q231" s="599"/>
      <c r="R231" s="599"/>
      <c r="S231" s="600"/>
      <c r="T231" s="305">
        <f>PCS!D231</f>
        <v>2234036.0465896651</v>
      </c>
      <c r="U231" s="300">
        <f>Police!U231</f>
        <v>365166.34033772256</v>
      </c>
      <c r="V231" s="333">
        <f t="shared" si="19"/>
        <v>1325000.1325393959</v>
      </c>
      <c r="W231" s="177"/>
      <c r="X231" s="177"/>
      <c r="Y231" s="177"/>
      <c r="Z231" s="15"/>
    </row>
    <row r="232" spans="1:26" x14ac:dyDescent="0.25">
      <c r="A232" s="108">
        <f>Données!A232</f>
        <v>5803</v>
      </c>
      <c r="B232" s="116" t="str">
        <f>Données!B232</f>
        <v>Vulliens</v>
      </c>
      <c r="C232" s="304">
        <f>Ressources!H232</f>
        <v>-639614.02598836389</v>
      </c>
      <c r="D232" s="304">
        <f>Ressources!L232</f>
        <v>0</v>
      </c>
      <c r="E232" s="332">
        <f>Ressources!T232</f>
        <v>-72220.916922089848</v>
      </c>
      <c r="F232" s="305">
        <f t="shared" si="15"/>
        <v>-711834.94291045377</v>
      </c>
      <c r="G232" s="304">
        <f>'Besoins structurels'!I232</f>
        <v>-19292</v>
      </c>
      <c r="H232" s="304">
        <f>'Besoins structurels'!N232</f>
        <v>-2546</v>
      </c>
      <c r="I232" s="304">
        <f>'Besoins structurels'!V232</f>
        <v>-26715</v>
      </c>
      <c r="J232" s="306">
        <f t="shared" si="16"/>
        <v>-48553</v>
      </c>
      <c r="K232" s="304">
        <f>'Charges des villes'!N232</f>
        <v>294559.09572103259</v>
      </c>
      <c r="L232" s="304">
        <f>'Charges des villes'!U232</f>
        <v>63728.740520457315</v>
      </c>
      <c r="M232" s="299">
        <f t="shared" si="17"/>
        <v>358287.83624148992</v>
      </c>
      <c r="N232" s="305">
        <f>-VLOOKUP(A232,Paramètres!$B$23:$C$316,2,FALSE)*$N$5</f>
        <v>0</v>
      </c>
      <c r="O232" s="319"/>
      <c r="P232" s="598">
        <f t="shared" si="18"/>
        <v>-402100.10666896385</v>
      </c>
      <c r="Q232" s="599"/>
      <c r="R232" s="599"/>
      <c r="S232" s="600"/>
      <c r="T232" s="305">
        <f>PCS!D232</f>
        <v>628042.26209348009</v>
      </c>
      <c r="U232" s="300">
        <f>Police!U232</f>
        <v>93904.633966999783</v>
      </c>
      <c r="V232" s="333">
        <f t="shared" si="19"/>
        <v>319846.78939151601</v>
      </c>
      <c r="W232" s="177"/>
      <c r="X232" s="177"/>
      <c r="Y232" s="177"/>
      <c r="Z232" s="15"/>
    </row>
    <row r="233" spans="1:26" x14ac:dyDescent="0.25">
      <c r="A233" s="108">
        <f>Données!A233</f>
        <v>5804</v>
      </c>
      <c r="B233" s="116" t="str">
        <f>Données!B233</f>
        <v>Jorat-Menthue</v>
      </c>
      <c r="C233" s="304">
        <f>Ressources!H233</f>
        <v>-1637825.5771159404</v>
      </c>
      <c r="D233" s="304">
        <f>Ressources!L233</f>
        <v>0</v>
      </c>
      <c r="E233" s="332">
        <f>Ressources!T233</f>
        <v>-163698.2163113468</v>
      </c>
      <c r="F233" s="305">
        <f t="shared" si="15"/>
        <v>-1801523.7934272871</v>
      </c>
      <c r="G233" s="304">
        <f>'Besoins structurels'!I233</f>
        <v>-63600</v>
      </c>
      <c r="H233" s="304">
        <f>'Besoins structurels'!N233</f>
        <v>-85757</v>
      </c>
      <c r="I233" s="304">
        <f>'Besoins structurels'!V233</f>
        <v>-52345</v>
      </c>
      <c r="J233" s="306">
        <f t="shared" si="16"/>
        <v>-201702</v>
      </c>
      <c r="K233" s="304">
        <f>'Charges des villes'!N233</f>
        <v>595568.29383210023</v>
      </c>
      <c r="L233" s="304">
        <f>'Charges des villes'!U233</f>
        <v>158209.12726030991</v>
      </c>
      <c r="M233" s="299">
        <f t="shared" si="17"/>
        <v>753777.42109241011</v>
      </c>
      <c r="N233" s="305">
        <f>-VLOOKUP(A233,Paramètres!$B$23:$C$316,2,FALSE)*$N$5</f>
        <v>-84900</v>
      </c>
      <c r="O233" s="319"/>
      <c r="P233" s="598">
        <f t="shared" si="18"/>
        <v>-1334348.372334877</v>
      </c>
      <c r="Q233" s="599"/>
      <c r="R233" s="599"/>
      <c r="S233" s="600"/>
      <c r="T233" s="305">
        <f>PCS!D233</f>
        <v>1559139.8379590523</v>
      </c>
      <c r="U233" s="300">
        <f>Police!U233</f>
        <v>247271.5823701552</v>
      </c>
      <c r="V233" s="333">
        <f t="shared" si="19"/>
        <v>472063.04799433047</v>
      </c>
      <c r="W233" s="177"/>
      <c r="X233" s="177"/>
      <c r="Y233" s="177"/>
      <c r="Z233" s="15"/>
    </row>
    <row r="234" spans="1:26" x14ac:dyDescent="0.25">
      <c r="A234" s="108">
        <f>Données!A234</f>
        <v>5805</v>
      </c>
      <c r="B234" s="116" t="str">
        <f>Données!B234</f>
        <v>Oron</v>
      </c>
      <c r="C234" s="304">
        <f>Ressources!H234</f>
        <v>-7903363.4020780576</v>
      </c>
      <c r="D234" s="304">
        <f>Ressources!L234</f>
        <v>0</v>
      </c>
      <c r="E234" s="332">
        <f>Ressources!T234</f>
        <v>-386986.95286412933</v>
      </c>
      <c r="F234" s="305">
        <f t="shared" si="15"/>
        <v>-8290350.3549421867</v>
      </c>
      <c r="G234" s="304">
        <f>'Besoins structurels'!I234</f>
        <v>0</v>
      </c>
      <c r="H234" s="304">
        <f>'Besoins structurels'!N234</f>
        <v>-34253</v>
      </c>
      <c r="I234" s="304">
        <f>'Besoins structurels'!V234</f>
        <v>-77830</v>
      </c>
      <c r="J234" s="306">
        <f t="shared" si="16"/>
        <v>-112083</v>
      </c>
      <c r="K234" s="304">
        <f>'Charges des villes'!N234</f>
        <v>690063.53836032376</v>
      </c>
      <c r="L234" s="304">
        <f>'Charges des villes'!U234</f>
        <v>652562.07158328593</v>
      </c>
      <c r="M234" s="299">
        <f t="shared" si="17"/>
        <v>1342625.6099436097</v>
      </c>
      <c r="N234" s="305">
        <f>-VLOOKUP(A234,Paramètres!$B$23:$C$316,2,FALSE)*$N$5</f>
        <v>-19125</v>
      </c>
      <c r="O234" s="319"/>
      <c r="P234" s="598">
        <f t="shared" si="18"/>
        <v>-7078932.744998578</v>
      </c>
      <c r="Q234" s="599"/>
      <c r="R234" s="599"/>
      <c r="S234" s="600"/>
      <c r="T234" s="305">
        <f>PCS!D234</f>
        <v>6430953.3853413342</v>
      </c>
      <c r="U234" s="300">
        <f>Police!U234</f>
        <v>1159798.5989278583</v>
      </c>
      <c r="V234" s="333">
        <f t="shared" si="19"/>
        <v>511819.23927061446</v>
      </c>
      <c r="W234" s="177"/>
      <c r="X234" s="177"/>
      <c r="Y234" s="177"/>
      <c r="Z234" s="15"/>
    </row>
    <row r="235" spans="1:26" x14ac:dyDescent="0.25">
      <c r="A235" s="108">
        <f>Données!A235</f>
        <v>5806</v>
      </c>
      <c r="B235" s="116" t="str">
        <f>Données!B235</f>
        <v>Jorat-Mézières</v>
      </c>
      <c r="C235" s="304">
        <f>Ressources!H235</f>
        <v>-3192539.9545760057</v>
      </c>
      <c r="D235" s="304">
        <f>Ressources!L235</f>
        <v>0</v>
      </c>
      <c r="E235" s="332">
        <f>Ressources!T235</f>
        <v>-322530.54994124803</v>
      </c>
      <c r="F235" s="305">
        <f t="shared" si="15"/>
        <v>-3515070.5045172535</v>
      </c>
      <c r="G235" s="304">
        <f>'Besoins structurels'!I235</f>
        <v>0</v>
      </c>
      <c r="H235" s="304">
        <f>'Besoins structurels'!N235</f>
        <v>-61711</v>
      </c>
      <c r="I235" s="304">
        <f>'Besoins structurels'!V235</f>
        <v>0</v>
      </c>
      <c r="J235" s="306">
        <f t="shared" si="16"/>
        <v>-61711</v>
      </c>
      <c r="K235" s="304">
        <f>'Charges des villes'!N235</f>
        <v>907488.49118215544</v>
      </c>
      <c r="L235" s="304">
        <f>'Charges des villes'!U235</f>
        <v>324611.94973039289</v>
      </c>
      <c r="M235" s="299">
        <f t="shared" si="17"/>
        <v>1232100.4409125485</v>
      </c>
      <c r="N235" s="305">
        <f>-VLOOKUP(A235,Paramètres!$B$23:$C$316,2,FALSE)*$N$5</f>
        <v>-102525</v>
      </c>
      <c r="O235" s="319"/>
      <c r="P235" s="598">
        <f t="shared" si="18"/>
        <v>-2447206.063604705</v>
      </c>
      <c r="Q235" s="599"/>
      <c r="R235" s="599"/>
      <c r="S235" s="600"/>
      <c r="T235" s="305">
        <f>PCS!D235</f>
        <v>3199027.966758695</v>
      </c>
      <c r="U235" s="300">
        <f>Police!U235</f>
        <v>536358.37898345117</v>
      </c>
      <c r="V235" s="333">
        <f t="shared" si="19"/>
        <v>1288180.282137441</v>
      </c>
      <c r="W235" s="177"/>
      <c r="X235" s="177"/>
      <c r="Y235" s="177"/>
      <c r="Z235" s="15"/>
    </row>
    <row r="236" spans="1:26" x14ac:dyDescent="0.25">
      <c r="A236" s="108">
        <f>Données!A236</f>
        <v>5812</v>
      </c>
      <c r="B236" s="116" t="str">
        <f>Données!B236</f>
        <v>Champtauroz</v>
      </c>
      <c r="C236" s="304">
        <f>Ressources!H236</f>
        <v>-281835.71933881135</v>
      </c>
      <c r="D236" s="304">
        <f>Ressources!L236</f>
        <v>-7377</v>
      </c>
      <c r="E236" s="332">
        <f>Ressources!T236</f>
        <v>-19877.93162486433</v>
      </c>
      <c r="F236" s="305">
        <f t="shared" si="15"/>
        <v>-309090.6509636757</v>
      </c>
      <c r="G236" s="304">
        <f>'Besoins structurels'!I236</f>
        <v>-17533</v>
      </c>
      <c r="H236" s="304">
        <f>'Besoins structurels'!N236</f>
        <v>0</v>
      </c>
      <c r="I236" s="304">
        <f>'Besoins structurels'!V236</f>
        <v>-69885</v>
      </c>
      <c r="J236" s="306">
        <f t="shared" si="16"/>
        <v>-87418</v>
      </c>
      <c r="K236" s="304">
        <f>'Charges des villes'!N236</f>
        <v>86029.958115349189</v>
      </c>
      <c r="L236" s="304">
        <f>'Charges des villes'!U236</f>
        <v>18612.838501212929</v>
      </c>
      <c r="M236" s="299">
        <f t="shared" si="17"/>
        <v>104642.79661656212</v>
      </c>
      <c r="N236" s="305">
        <f>-VLOOKUP(A236,Paramètres!$B$23:$C$316,2,FALSE)*$N$5</f>
        <v>-3900</v>
      </c>
      <c r="O236" s="319"/>
      <c r="P236" s="598">
        <f t="shared" si="18"/>
        <v>-295765.85434711358</v>
      </c>
      <c r="Q236" s="599"/>
      <c r="R236" s="599"/>
      <c r="S236" s="600"/>
      <c r="T236" s="305">
        <f>PCS!D236</f>
        <v>183428.21623047674</v>
      </c>
      <c r="U236" s="300">
        <f>Police!U236</f>
        <v>27426.115317345968</v>
      </c>
      <c r="V236" s="333">
        <f t="shared" si="19"/>
        <v>-84911.522799290862</v>
      </c>
      <c r="W236" s="177"/>
      <c r="X236" s="177"/>
      <c r="Y236" s="177"/>
      <c r="Z236" s="15"/>
    </row>
    <row r="237" spans="1:26" x14ac:dyDescent="0.25">
      <c r="A237" s="108">
        <f>Données!A237</f>
        <v>5813</v>
      </c>
      <c r="B237" s="116" t="str">
        <f>Données!B237</f>
        <v>Chevroux</v>
      </c>
      <c r="C237" s="304">
        <f>Ressources!H237</f>
        <v>-192016.39102746663</v>
      </c>
      <c r="D237" s="304">
        <f>Ressources!L237</f>
        <v>0</v>
      </c>
      <c r="E237" s="332">
        <f>Ressources!T237</f>
        <v>22026.095998321034</v>
      </c>
      <c r="F237" s="305">
        <f t="shared" si="15"/>
        <v>-169990.29502914561</v>
      </c>
      <c r="G237" s="304">
        <f>'Besoins structurels'!I237</f>
        <v>0</v>
      </c>
      <c r="H237" s="304">
        <f>'Besoins structurels'!N237</f>
        <v>0</v>
      </c>
      <c r="I237" s="304">
        <f>'Besoins structurels'!V237</f>
        <v>-11430</v>
      </c>
      <c r="J237" s="306">
        <f t="shared" si="16"/>
        <v>-11430</v>
      </c>
      <c r="K237" s="304">
        <f>'Charges des villes'!N237</f>
        <v>227698.85653356006</v>
      </c>
      <c r="L237" s="304">
        <f>'Charges des villes'!U237</f>
        <v>49263.327989623358</v>
      </c>
      <c r="M237" s="299">
        <f t="shared" si="17"/>
        <v>276962.18452318339</v>
      </c>
      <c r="N237" s="305">
        <f>-VLOOKUP(A237,Paramètres!$B$23:$C$316,2,FALSE)*$N$5</f>
        <v>0</v>
      </c>
      <c r="O237" s="319"/>
      <c r="P237" s="598">
        <f t="shared" si="18"/>
        <v>95541.88949403778</v>
      </c>
      <c r="Q237" s="599"/>
      <c r="R237" s="599"/>
      <c r="S237" s="600"/>
      <c r="T237" s="305">
        <f>PCS!D237</f>
        <v>485486.63752305531</v>
      </c>
      <c r="U237" s="300">
        <f>Police!U237</f>
        <v>72589.772606236336</v>
      </c>
      <c r="V237" s="333">
        <f t="shared" si="19"/>
        <v>653618.29962332943</v>
      </c>
      <c r="W237" s="177"/>
      <c r="X237" s="177"/>
      <c r="Y237" s="177"/>
      <c r="Z237" s="15"/>
    </row>
    <row r="238" spans="1:26" x14ac:dyDescent="0.25">
      <c r="A238" s="108">
        <f>Données!A238</f>
        <v>5816</v>
      </c>
      <c r="B238" s="116" t="str">
        <f>Données!B238</f>
        <v>Corcelles-près-Payerne</v>
      </c>
      <c r="C238" s="304">
        <f>Ressources!H238</f>
        <v>-4709916.50515074</v>
      </c>
      <c r="D238" s="304">
        <f>Ressources!L238</f>
        <v>-104735</v>
      </c>
      <c r="E238" s="332">
        <f>Ressources!T238</f>
        <v>-243141.26771304617</v>
      </c>
      <c r="F238" s="305">
        <f t="shared" si="15"/>
        <v>-5057792.7728637867</v>
      </c>
      <c r="G238" s="304">
        <f>'Besoins structurels'!I238</f>
        <v>0</v>
      </c>
      <c r="H238" s="304">
        <f>'Besoins structurels'!N238</f>
        <v>0</v>
      </c>
      <c r="I238" s="304">
        <f>'Besoins structurels'!V238</f>
        <v>-40382</v>
      </c>
      <c r="J238" s="306">
        <f t="shared" si="16"/>
        <v>-40382</v>
      </c>
      <c r="K238" s="304">
        <f>'Charges des villes'!N238</f>
        <v>912853.69668053486</v>
      </c>
      <c r="L238" s="304">
        <f>'Charges des villes'!U238</f>
        <v>316519.41125160467</v>
      </c>
      <c r="M238" s="299">
        <f t="shared" si="17"/>
        <v>1229373.1079321397</v>
      </c>
      <c r="N238" s="305">
        <f>-VLOOKUP(A238,Paramètres!$B$23:$C$316,2,FALSE)*$N$5</f>
        <v>0</v>
      </c>
      <c r="O238" s="319"/>
      <c r="P238" s="598">
        <f t="shared" si="18"/>
        <v>-3868801.664931647</v>
      </c>
      <c r="Q238" s="599"/>
      <c r="R238" s="599"/>
      <c r="S238" s="600"/>
      <c r="T238" s="305">
        <f>PCS!D238</f>
        <v>3119276.5683976179</v>
      </c>
      <c r="U238" s="300">
        <f>Police!U238</f>
        <v>521423.4273656187</v>
      </c>
      <c r="V238" s="333">
        <f t="shared" si="19"/>
        <v>-228101.66916841042</v>
      </c>
      <c r="W238" s="177"/>
      <c r="X238" s="177"/>
      <c r="Y238" s="177"/>
      <c r="Z238" s="15"/>
    </row>
    <row r="239" spans="1:26" x14ac:dyDescent="0.25">
      <c r="A239" s="108">
        <f>Données!A239</f>
        <v>5817</v>
      </c>
      <c r="B239" s="116" t="str">
        <f>Données!B239</f>
        <v>Grandcour</v>
      </c>
      <c r="C239" s="304">
        <f>Ressources!H239</f>
        <v>-1303233.6239890985</v>
      </c>
      <c r="D239" s="304">
        <f>Ressources!L239</f>
        <v>0</v>
      </c>
      <c r="E239" s="332">
        <f>Ressources!T239</f>
        <v>-91804.667641947832</v>
      </c>
      <c r="F239" s="305">
        <f t="shared" si="15"/>
        <v>-1395038.2916310462</v>
      </c>
      <c r="G239" s="304">
        <f>'Besoins structurels'!I239</f>
        <v>-30836</v>
      </c>
      <c r="H239" s="304">
        <f>'Besoins structurels'!N239</f>
        <v>0</v>
      </c>
      <c r="I239" s="304">
        <f>'Besoins structurels'!V239</f>
        <v>-78224</v>
      </c>
      <c r="J239" s="306">
        <f t="shared" si="16"/>
        <v>-109060</v>
      </c>
      <c r="K239" s="304">
        <f>'Charges des villes'!N239</f>
        <v>453527.49658635171</v>
      </c>
      <c r="L239" s="304">
        <f>'Charges des villes'!U239</f>
        <v>98122.029055307299</v>
      </c>
      <c r="M239" s="299">
        <f t="shared" si="17"/>
        <v>551649.52564165904</v>
      </c>
      <c r="N239" s="305">
        <f>-VLOOKUP(A239,Paramètres!$B$23:$C$316,2,FALSE)*$N$5</f>
        <v>0</v>
      </c>
      <c r="O239" s="319"/>
      <c r="P239" s="598">
        <f t="shared" si="18"/>
        <v>-952448.76598938718</v>
      </c>
      <c r="Q239" s="599"/>
      <c r="R239" s="599"/>
      <c r="S239" s="600"/>
      <c r="T239" s="305">
        <f>PCS!D239</f>
        <v>966985.7051280567</v>
      </c>
      <c r="U239" s="300">
        <f>Police!U239</f>
        <v>144583.32531426952</v>
      </c>
      <c r="V239" s="333">
        <f t="shared" si="19"/>
        <v>159120.26445293904</v>
      </c>
      <c r="W239" s="177"/>
      <c r="X239" s="177"/>
      <c r="Y239" s="177"/>
      <c r="Z239" s="15"/>
    </row>
    <row r="240" spans="1:26" x14ac:dyDescent="0.25">
      <c r="A240" s="108">
        <f>Données!A240</f>
        <v>5819</v>
      </c>
      <c r="B240" s="116" t="str">
        <f>Données!B240</f>
        <v>Henniez</v>
      </c>
      <c r="C240" s="304">
        <f>Ressources!H240</f>
        <v>-569843.53716375737</v>
      </c>
      <c r="D240" s="304">
        <f>Ressources!L240</f>
        <v>0</v>
      </c>
      <c r="E240" s="332">
        <f>Ressources!T240</f>
        <v>-77999.501923570919</v>
      </c>
      <c r="F240" s="305">
        <f t="shared" si="15"/>
        <v>-647843.03908732824</v>
      </c>
      <c r="G240" s="304">
        <f>'Besoins structurels'!I240</f>
        <v>0</v>
      </c>
      <c r="H240" s="304">
        <f>'Besoins structurels'!N240</f>
        <v>0</v>
      </c>
      <c r="I240" s="304">
        <f>'Besoins structurels'!V240</f>
        <v>-74012</v>
      </c>
      <c r="J240" s="306">
        <f t="shared" si="16"/>
        <v>-74012</v>
      </c>
      <c r="K240" s="304">
        <f>'Charges des villes'!N240</f>
        <v>216945.11176914143</v>
      </c>
      <c r="L240" s="304">
        <f>'Charges des villes'!U240</f>
        <v>46936.72317697174</v>
      </c>
      <c r="M240" s="299">
        <f t="shared" si="17"/>
        <v>263881.83494611317</v>
      </c>
      <c r="N240" s="305">
        <f>-VLOOKUP(A240,Paramètres!$B$23:$C$316,2,FALSE)*$N$5</f>
        <v>0</v>
      </c>
      <c r="O240" s="319"/>
      <c r="P240" s="598">
        <f t="shared" si="18"/>
        <v>-457973.20414121507</v>
      </c>
      <c r="Q240" s="599"/>
      <c r="R240" s="599"/>
      <c r="S240" s="600"/>
      <c r="T240" s="305">
        <f>PCS!D240</f>
        <v>462558.11049424572</v>
      </c>
      <c r="U240" s="300">
        <f>Police!U240</f>
        <v>69161.508191568093</v>
      </c>
      <c r="V240" s="333">
        <f t="shared" si="19"/>
        <v>73746.414544598738</v>
      </c>
      <c r="W240" s="177"/>
      <c r="X240" s="177"/>
      <c r="Y240" s="177"/>
      <c r="Z240" s="15"/>
    </row>
    <row r="241" spans="1:26" x14ac:dyDescent="0.25">
      <c r="A241" s="108">
        <f>Données!A241</f>
        <v>5821</v>
      </c>
      <c r="B241" s="116" t="str">
        <f>Données!B241</f>
        <v>Missy</v>
      </c>
      <c r="C241" s="304">
        <f>Ressources!H241</f>
        <v>-535023.11935758952</v>
      </c>
      <c r="D241" s="304">
        <f>Ressources!L241</f>
        <v>-3820</v>
      </c>
      <c r="E241" s="332">
        <f>Ressources!T241</f>
        <v>-39517.449243606417</v>
      </c>
      <c r="F241" s="305">
        <f t="shared" si="15"/>
        <v>-578360.56860119593</v>
      </c>
      <c r="G241" s="304">
        <f>'Besoins structurels'!I241</f>
        <v>-1786</v>
      </c>
      <c r="H241" s="304">
        <f>'Besoins structurels'!N241</f>
        <v>0</v>
      </c>
      <c r="I241" s="304">
        <f>'Besoins structurels'!V241</f>
        <v>-94014</v>
      </c>
      <c r="J241" s="306">
        <f t="shared" si="16"/>
        <v>-95800</v>
      </c>
      <c r="K241" s="304">
        <f>'Charges des villes'!N241</f>
        <v>177203.01155281166</v>
      </c>
      <c r="L241" s="304">
        <f>'Charges des villes'!U241</f>
        <v>38338.40104325924</v>
      </c>
      <c r="M241" s="299">
        <f t="shared" si="17"/>
        <v>215541.41259607091</v>
      </c>
      <c r="N241" s="305">
        <f>-VLOOKUP(A241,Paramètres!$B$23:$C$316,2,FALSE)*$N$5</f>
        <v>0</v>
      </c>
      <c r="O241" s="319"/>
      <c r="P241" s="598">
        <f t="shared" si="18"/>
        <v>-458619.15600512503</v>
      </c>
      <c r="Q241" s="599"/>
      <c r="R241" s="599"/>
      <c r="S241" s="600"/>
      <c r="T241" s="305">
        <f>PCS!D241</f>
        <v>377822.24973560154</v>
      </c>
      <c r="U241" s="300">
        <f>Police!U241</f>
        <v>56491.835354750663</v>
      </c>
      <c r="V241" s="333">
        <f t="shared" si="19"/>
        <v>-24305.070914772827</v>
      </c>
      <c r="W241" s="177"/>
      <c r="X241" s="177"/>
      <c r="Y241" s="177"/>
      <c r="Z241" s="15"/>
    </row>
    <row r="242" spans="1:26" x14ac:dyDescent="0.25">
      <c r="A242" s="108">
        <f>Données!A242</f>
        <v>5822</v>
      </c>
      <c r="B242" s="116" t="str">
        <f>Données!B242</f>
        <v>Payerne</v>
      </c>
      <c r="C242" s="304">
        <f>Ressources!H242</f>
        <v>-16392675.041167576</v>
      </c>
      <c r="D242" s="304">
        <f>Ressources!L242</f>
        <v>-336537</v>
      </c>
      <c r="E242" s="332">
        <f>Ressources!T242</f>
        <v>-1035475.0013478883</v>
      </c>
      <c r="F242" s="305">
        <f t="shared" si="15"/>
        <v>-17764687.042515464</v>
      </c>
      <c r="G242" s="304">
        <f>'Besoins structurels'!I242</f>
        <v>0</v>
      </c>
      <c r="H242" s="304">
        <f>'Besoins structurels'!N242</f>
        <v>0</v>
      </c>
      <c r="I242" s="304">
        <f>'Besoins structurels'!V242</f>
        <v>0</v>
      </c>
      <c r="J242" s="306">
        <f t="shared" si="16"/>
        <v>0</v>
      </c>
      <c r="K242" s="304">
        <f>'Charges des villes'!N242</f>
        <v>386862.36263314821</v>
      </c>
      <c r="L242" s="304">
        <f>'Charges des villes'!U242</f>
        <v>723557.05236580584</v>
      </c>
      <c r="M242" s="299">
        <f t="shared" si="17"/>
        <v>1110419.4149989542</v>
      </c>
      <c r="N242" s="305">
        <f>-VLOOKUP(A242,Paramètres!$B$23:$C$316,2,FALSE)*$N$5</f>
        <v>0</v>
      </c>
      <c r="O242" s="319"/>
      <c r="P242" s="598">
        <f t="shared" si="18"/>
        <v>-16654267.62751651</v>
      </c>
      <c r="Q242" s="599"/>
      <c r="R242" s="599"/>
      <c r="S242" s="600"/>
      <c r="T242" s="305">
        <f>PCS!D242</f>
        <v>10937904.285221688</v>
      </c>
      <c r="U242" s="300">
        <f>Police!U242</f>
        <v>2060521.3566834917</v>
      </c>
      <c r="V242" s="333">
        <f t="shared" si="19"/>
        <v>-3655841.9856113298</v>
      </c>
      <c r="W242" s="177"/>
      <c r="X242" s="177"/>
      <c r="Y242" s="177"/>
      <c r="Z242" s="15"/>
    </row>
    <row r="243" spans="1:26" x14ac:dyDescent="0.25">
      <c r="A243" s="108">
        <f>Données!A243</f>
        <v>5827</v>
      </c>
      <c r="B243" s="116" t="str">
        <f>Données!B243</f>
        <v>Trey</v>
      </c>
      <c r="C243" s="304">
        <f>Ressources!H243</f>
        <v>-380746.84759618714</v>
      </c>
      <c r="D243" s="304">
        <f>Ressources!L243</f>
        <v>0</v>
      </c>
      <c r="E243" s="332">
        <f>Ressources!T243</f>
        <v>-35311.102557519684</v>
      </c>
      <c r="F243" s="305">
        <f t="shared" si="15"/>
        <v>-416057.95015370683</v>
      </c>
      <c r="G243" s="304">
        <f>'Besoins structurels'!I243</f>
        <v>-15313</v>
      </c>
      <c r="H243" s="304">
        <f>'Besoins structurels'!N243</f>
        <v>0</v>
      </c>
      <c r="I243" s="304">
        <f>'Besoins structurels'!V243</f>
        <v>0</v>
      </c>
      <c r="J243" s="306">
        <f t="shared" si="16"/>
        <v>-15313</v>
      </c>
      <c r="K243" s="304">
        <f>'Charges des villes'!N243</f>
        <v>142604.00665859511</v>
      </c>
      <c r="L243" s="304">
        <f>'Charges des villes'!U243</f>
        <v>30852.80295038013</v>
      </c>
      <c r="M243" s="299">
        <f t="shared" si="17"/>
        <v>173456.80960897525</v>
      </c>
      <c r="N243" s="305">
        <f>-VLOOKUP(A243,Paramètres!$B$23:$C$316,2,FALSE)*$N$5</f>
        <v>-9975</v>
      </c>
      <c r="O243" s="319"/>
      <c r="P243" s="598">
        <f t="shared" si="18"/>
        <v>-267889.14054473158</v>
      </c>
      <c r="Q243" s="599"/>
      <c r="R243" s="599"/>
      <c r="S243" s="600"/>
      <c r="T243" s="305">
        <f>PCS!D243</f>
        <v>304052.20625160547</v>
      </c>
      <c r="U243" s="300">
        <f>Police!U243</f>
        <v>45461.767237991953</v>
      </c>
      <c r="V243" s="333">
        <f t="shared" si="19"/>
        <v>81624.832944865848</v>
      </c>
      <c r="W243" s="177"/>
      <c r="X243" s="177"/>
      <c r="Y243" s="177"/>
      <c r="Z243" s="15"/>
    </row>
    <row r="244" spans="1:26" x14ac:dyDescent="0.25">
      <c r="A244" s="108">
        <f>Données!A244</f>
        <v>5828</v>
      </c>
      <c r="B244" s="116" t="str">
        <f>Données!B244</f>
        <v>Treytorrens (Payerne)</v>
      </c>
      <c r="C244" s="304">
        <f>Ressources!H244</f>
        <v>-104159.81900684873</v>
      </c>
      <c r="D244" s="304">
        <f>Ressources!L244</f>
        <v>0</v>
      </c>
      <c r="E244" s="332">
        <f>Ressources!T244</f>
        <v>-12514.214758072541</v>
      </c>
      <c r="F244" s="305">
        <f t="shared" si="15"/>
        <v>-116674.03376492127</v>
      </c>
      <c r="G244" s="304">
        <f>'Besoins structurels'!I244</f>
        <v>-24484</v>
      </c>
      <c r="H244" s="304">
        <f>'Besoins structurels'!N244</f>
        <v>0</v>
      </c>
      <c r="I244" s="304">
        <f>'Besoins structurels'!V244</f>
        <v>0</v>
      </c>
      <c r="J244" s="306">
        <f t="shared" si="16"/>
        <v>-24484</v>
      </c>
      <c r="K244" s="304">
        <f>'Charges des villes'!N244</f>
        <v>50495.844980748443</v>
      </c>
      <c r="L244" s="304">
        <f>'Charges des villes'!U244</f>
        <v>10924.926946364112</v>
      </c>
      <c r="M244" s="299">
        <f t="shared" si="17"/>
        <v>61420.771927112553</v>
      </c>
      <c r="N244" s="305">
        <f>-VLOOKUP(A244,Paramètres!$B$23:$C$316,2,FALSE)*$N$5</f>
        <v>-7575</v>
      </c>
      <c r="O244" s="319"/>
      <c r="P244" s="598">
        <f t="shared" si="18"/>
        <v>-87312.261837808721</v>
      </c>
      <c r="Q244" s="599"/>
      <c r="R244" s="599"/>
      <c r="S244" s="600"/>
      <c r="T244" s="305">
        <f>PCS!D244</f>
        <v>107664.38778745374</v>
      </c>
      <c r="U244" s="300">
        <f>Police!U244</f>
        <v>16097.937251485677</v>
      </c>
      <c r="V244" s="333">
        <f t="shared" si="19"/>
        <v>36450.063201130703</v>
      </c>
      <c r="W244" s="177"/>
      <c r="X244" s="177"/>
      <c r="Y244" s="177"/>
      <c r="Z244" s="15"/>
    </row>
    <row r="245" spans="1:26" x14ac:dyDescent="0.25">
      <c r="A245" s="108">
        <f>Données!A245</f>
        <v>5830</v>
      </c>
      <c r="B245" s="116" t="str">
        <f>Données!B245</f>
        <v>Villarzel</v>
      </c>
      <c r="C245" s="304">
        <f>Ressources!H245</f>
        <v>-669836.38892634958</v>
      </c>
      <c r="D245" s="304">
        <f>Ressources!L245</f>
        <v>0</v>
      </c>
      <c r="E245" s="332">
        <f>Ressources!T245</f>
        <v>-50584.02716401728</v>
      </c>
      <c r="F245" s="305">
        <f t="shared" si="15"/>
        <v>-720420.4160903669</v>
      </c>
      <c r="G245" s="304">
        <f>'Besoins structurels'!I245</f>
        <v>-40357</v>
      </c>
      <c r="H245" s="304">
        <f>'Besoins structurels'!N245</f>
        <v>-1515</v>
      </c>
      <c r="I245" s="304">
        <f>'Besoins structurels'!V245</f>
        <v>-50064</v>
      </c>
      <c r="J245" s="306">
        <f t="shared" si="16"/>
        <v>-91936</v>
      </c>
      <c r="K245" s="304">
        <f>'Charges des villes'!N245</f>
        <v>244063.25074028413</v>
      </c>
      <c r="L245" s="304">
        <f>'Charges des villes'!U245</f>
        <v>52803.813574093205</v>
      </c>
      <c r="M245" s="299">
        <f t="shared" si="17"/>
        <v>296867.06431437732</v>
      </c>
      <c r="N245" s="305">
        <f>-VLOOKUP(A245,Paramètres!$B$23:$C$316,2,FALSE)*$N$5</f>
        <v>-5775</v>
      </c>
      <c r="O245" s="319"/>
      <c r="P245" s="598">
        <f t="shared" si="18"/>
        <v>-521264.35177598958</v>
      </c>
      <c r="Q245" s="599"/>
      <c r="R245" s="599"/>
      <c r="S245" s="600"/>
      <c r="T245" s="305">
        <f>PCS!D245</f>
        <v>520377.87430602644</v>
      </c>
      <c r="U245" s="300">
        <f>Police!U245</f>
        <v>77806.696715514103</v>
      </c>
      <c r="V245" s="333">
        <f t="shared" si="19"/>
        <v>76920.219245550965</v>
      </c>
      <c r="W245" s="177"/>
      <c r="X245" s="177"/>
      <c r="Y245" s="177"/>
      <c r="Z245" s="15"/>
    </row>
    <row r="246" spans="1:26" x14ac:dyDescent="0.25">
      <c r="A246" s="108">
        <f>Données!A246</f>
        <v>5831</v>
      </c>
      <c r="B246" s="116" t="str">
        <f>Données!B246</f>
        <v>Valbroye</v>
      </c>
      <c r="C246" s="304">
        <f>Ressources!H246</f>
        <v>-4149679.5870157205</v>
      </c>
      <c r="D246" s="304">
        <f>Ressources!L246</f>
        <v>0</v>
      </c>
      <c r="E246" s="332">
        <f>Ressources!T246</f>
        <v>-424342.63364422048</v>
      </c>
      <c r="F246" s="305">
        <f t="shared" si="15"/>
        <v>-4574022.2206599414</v>
      </c>
      <c r="G246" s="304">
        <f>'Besoins structurels'!I246</f>
        <v>-82610</v>
      </c>
      <c r="H246" s="304">
        <f>'Besoins structurels'!N246</f>
        <v>-4937</v>
      </c>
      <c r="I246" s="304">
        <f>'Besoins structurels'!V246</f>
        <v>-93252</v>
      </c>
      <c r="J246" s="306">
        <f t="shared" si="16"/>
        <v>-180799</v>
      </c>
      <c r="K246" s="304">
        <f>'Charges des villes'!N246</f>
        <v>893606.02195509826</v>
      </c>
      <c r="L246" s="304">
        <f>'Charges des villes'!U246</f>
        <v>345551.39304425748</v>
      </c>
      <c r="M246" s="299">
        <f t="shared" si="17"/>
        <v>1239157.4149993558</v>
      </c>
      <c r="N246" s="305">
        <f>-VLOOKUP(A246,Paramètres!$B$23:$C$316,2,FALSE)*$N$5</f>
        <v>-265950</v>
      </c>
      <c r="O246" s="319"/>
      <c r="P246" s="598">
        <f t="shared" si="18"/>
        <v>-3781613.8056605859</v>
      </c>
      <c r="Q246" s="599"/>
      <c r="R246" s="599"/>
      <c r="S246" s="600"/>
      <c r="T246" s="305">
        <f>PCS!D246</f>
        <v>3405384.7100179815</v>
      </c>
      <c r="U246" s="300">
        <f>Police!U246</f>
        <v>575002.56629459281</v>
      </c>
      <c r="V246" s="333">
        <f t="shared" si="19"/>
        <v>198773.47065198841</v>
      </c>
      <c r="W246" s="177"/>
      <c r="X246" s="177"/>
      <c r="Y246" s="177"/>
      <c r="Z246" s="15"/>
    </row>
    <row r="247" spans="1:26" x14ac:dyDescent="0.25">
      <c r="A247" s="108">
        <f>Données!A247</f>
        <v>5841</v>
      </c>
      <c r="B247" s="116" t="str">
        <f>Données!B247</f>
        <v>Château-d'Oex</v>
      </c>
      <c r="C247" s="304">
        <f>Ressources!H247</f>
        <v>-2670294.5726989396</v>
      </c>
      <c r="D247" s="304">
        <f>Ressources!L247</f>
        <v>0</v>
      </c>
      <c r="E247" s="332">
        <f>Ressources!T247</f>
        <v>74445.661689540721</v>
      </c>
      <c r="F247" s="305">
        <f t="shared" si="15"/>
        <v>-2595848.9110093988</v>
      </c>
      <c r="G247" s="304">
        <f>'Besoins structurels'!I247</f>
        <v>-723855</v>
      </c>
      <c r="H247" s="304">
        <f>'Besoins structurels'!N247</f>
        <v>-1529449</v>
      </c>
      <c r="I247" s="304">
        <f>'Besoins structurels'!V247</f>
        <v>0</v>
      </c>
      <c r="J247" s="306">
        <f t="shared" si="16"/>
        <v>-2253304</v>
      </c>
      <c r="K247" s="304">
        <f>'Charges des villes'!N247</f>
        <v>875297.25819187774</v>
      </c>
      <c r="L247" s="304">
        <f>'Charges des villes'!U247</f>
        <v>373167.18060312228</v>
      </c>
      <c r="M247" s="299">
        <f t="shared" si="17"/>
        <v>1248464.4387950001</v>
      </c>
      <c r="N247" s="305">
        <f>-VLOOKUP(A247,Paramètres!$B$23:$C$316,2,FALSE)*$N$5</f>
        <v>-127650</v>
      </c>
      <c r="O247" s="319"/>
      <c r="P247" s="598">
        <f t="shared" si="18"/>
        <v>-3728338.4722143989</v>
      </c>
      <c r="Q247" s="599"/>
      <c r="R247" s="599"/>
      <c r="S247" s="600"/>
      <c r="T247" s="305">
        <f>PCS!D247</f>
        <v>3677536.356925156</v>
      </c>
      <c r="U247" s="300">
        <f>Police!U247</f>
        <v>625968.08869044622</v>
      </c>
      <c r="V247" s="333">
        <f t="shared" si="19"/>
        <v>575165.97340120329</v>
      </c>
      <c r="W247" s="177"/>
      <c r="X247" s="177"/>
      <c r="Y247" s="177"/>
      <c r="Z247" s="15"/>
    </row>
    <row r="248" spans="1:26" x14ac:dyDescent="0.25">
      <c r="A248" s="108">
        <f>Données!A248</f>
        <v>5842</v>
      </c>
      <c r="B248" s="116" t="str">
        <f>Données!B248</f>
        <v>Rossinière</v>
      </c>
      <c r="C248" s="304">
        <f>Ressources!H248</f>
        <v>-528198.03553030989</v>
      </c>
      <c r="D248" s="304">
        <f>Ressources!L248</f>
        <v>0</v>
      </c>
      <c r="E248" s="332">
        <f>Ressources!T248</f>
        <v>4910.4894623281434</v>
      </c>
      <c r="F248" s="305">
        <f t="shared" si="15"/>
        <v>-523287.54606798175</v>
      </c>
      <c r="G248" s="304">
        <f>'Besoins structurels'!I248</f>
        <v>-186897</v>
      </c>
      <c r="H248" s="304">
        <f>'Besoins structurels'!N248</f>
        <v>-239485</v>
      </c>
      <c r="I248" s="304">
        <f>'Besoins structurels'!V248</f>
        <v>-44724</v>
      </c>
      <c r="J248" s="306">
        <f t="shared" si="16"/>
        <v>-471106</v>
      </c>
      <c r="K248" s="304">
        <f>'Charges des villes'!N248</f>
        <v>235647.27657682606</v>
      </c>
      <c r="L248" s="304">
        <f>'Charges des villes'!U248</f>
        <v>50982.992416365851</v>
      </c>
      <c r="M248" s="299">
        <f t="shared" si="17"/>
        <v>286630.26899319189</v>
      </c>
      <c r="N248" s="305">
        <f>-VLOOKUP(A248,Paramètres!$B$23:$C$316,2,FALSE)*$N$5</f>
        <v>0</v>
      </c>
      <c r="O248" s="319"/>
      <c r="P248" s="598">
        <f t="shared" si="18"/>
        <v>-707763.27707478986</v>
      </c>
      <c r="Q248" s="599"/>
      <c r="R248" s="599"/>
      <c r="S248" s="600"/>
      <c r="T248" s="305">
        <f>PCS!D248</f>
        <v>502433.80967478413</v>
      </c>
      <c r="U248" s="300">
        <f>Police!U248</f>
        <v>75123.707173599832</v>
      </c>
      <c r="V248" s="333">
        <f t="shared" si="19"/>
        <v>-130205.7602264059</v>
      </c>
      <c r="W248" s="177"/>
      <c r="X248" s="177"/>
      <c r="Y248" s="177"/>
      <c r="Z248" s="15"/>
    </row>
    <row r="249" spans="1:26" x14ac:dyDescent="0.25">
      <c r="A249" s="108">
        <f>Données!A249</f>
        <v>5843</v>
      </c>
      <c r="B249" s="116" t="str">
        <f>Données!B249</f>
        <v>Rougemont</v>
      </c>
      <c r="C249" s="304">
        <f>Ressources!H249</f>
        <v>2864656.8828486362</v>
      </c>
      <c r="D249" s="304">
        <f>Ressources!L249</f>
        <v>0</v>
      </c>
      <c r="E249" s="332">
        <f>Ressources!T249</f>
        <v>845745.10726621863</v>
      </c>
      <c r="F249" s="305">
        <f t="shared" si="15"/>
        <v>3710401.9901148546</v>
      </c>
      <c r="G249" s="304">
        <f>'Besoins structurels'!I249</f>
        <v>-374250</v>
      </c>
      <c r="H249" s="304">
        <f>'Besoins structurels'!N249</f>
        <v>-349373</v>
      </c>
      <c r="I249" s="304">
        <f>'Besoins structurels'!V249</f>
        <v>0</v>
      </c>
      <c r="J249" s="306">
        <f t="shared" si="16"/>
        <v>-723623</v>
      </c>
      <c r="K249" s="304">
        <f>'Charges des villes'!N249</f>
        <v>376381.06675465271</v>
      </c>
      <c r="L249" s="304">
        <f>'Charges des villes'!U249</f>
        <v>81431.168442806578</v>
      </c>
      <c r="M249" s="299">
        <f t="shared" si="17"/>
        <v>457812.23519745929</v>
      </c>
      <c r="N249" s="305">
        <f>-VLOOKUP(A249,Paramètres!$B$23:$C$316,2,FALSE)*$N$5</f>
        <v>0</v>
      </c>
      <c r="O249" s="319"/>
      <c r="P249" s="598">
        <f t="shared" si="18"/>
        <v>3444591.225312314</v>
      </c>
      <c r="Q249" s="599"/>
      <c r="R249" s="599"/>
      <c r="S249" s="600"/>
      <c r="T249" s="305">
        <f>PCS!D249</f>
        <v>802498.4460083358</v>
      </c>
      <c r="U249" s="300">
        <f>Police!U249</f>
        <v>119989.25451338862</v>
      </c>
      <c r="V249" s="333">
        <f t="shared" si="19"/>
        <v>4367078.9258340383</v>
      </c>
      <c r="W249" s="177"/>
      <c r="X249" s="177"/>
      <c r="Y249" s="177"/>
      <c r="Z249" s="15"/>
    </row>
    <row r="250" spans="1:26" x14ac:dyDescent="0.25">
      <c r="A250" s="108">
        <f>Données!A250</f>
        <v>5851</v>
      </c>
      <c r="B250" s="116" t="str">
        <f>Données!B250</f>
        <v>Allaman</v>
      </c>
      <c r="C250" s="304">
        <f>Ressources!H250</f>
        <v>340864.24678254686</v>
      </c>
      <c r="D250" s="304">
        <f>Ressources!L250</f>
        <v>0</v>
      </c>
      <c r="E250" s="332">
        <f>Ressources!T250</f>
        <v>68234.217774760298</v>
      </c>
      <c r="F250" s="305">
        <f t="shared" si="15"/>
        <v>409098.46455730719</v>
      </c>
      <c r="G250" s="304">
        <f>'Besoins structurels'!I250</f>
        <v>0</v>
      </c>
      <c r="H250" s="304">
        <f>'Besoins structurels'!N250</f>
        <v>0</v>
      </c>
      <c r="I250" s="304">
        <f>'Besoins structurels'!V250</f>
        <v>0</v>
      </c>
      <c r="J250" s="306">
        <f t="shared" si="16"/>
        <v>0</v>
      </c>
      <c r="K250" s="304">
        <f>'Charges des villes'!N250</f>
        <v>192632.29751915144</v>
      </c>
      <c r="L250" s="304">
        <f>'Charges des villes'!U250</f>
        <v>41676.573165759386</v>
      </c>
      <c r="M250" s="299">
        <f t="shared" si="17"/>
        <v>234308.87068491083</v>
      </c>
      <c r="N250" s="305">
        <f>-VLOOKUP(A250,Paramètres!$B$23:$C$316,2,FALSE)*$N$5</f>
        <v>0</v>
      </c>
      <c r="O250" s="319"/>
      <c r="P250" s="598">
        <f t="shared" si="18"/>
        <v>643407.33524221799</v>
      </c>
      <c r="Q250" s="599"/>
      <c r="R250" s="599"/>
      <c r="S250" s="600"/>
      <c r="T250" s="305">
        <f>PCS!D250</f>
        <v>410719.70155954576</v>
      </c>
      <c r="U250" s="300">
        <f>Police!U250</f>
        <v>61410.649514926838</v>
      </c>
      <c r="V250" s="333">
        <f t="shared" si="19"/>
        <v>1115537.6863166906</v>
      </c>
      <c r="W250" s="177"/>
      <c r="X250" s="177"/>
      <c r="Y250" s="177"/>
      <c r="Z250" s="15"/>
    </row>
    <row r="251" spans="1:26" x14ac:dyDescent="0.25">
      <c r="A251" s="108">
        <f>Données!A251</f>
        <v>5852</v>
      </c>
      <c r="B251" s="116" t="str">
        <f>Données!B251</f>
        <v>Bursinel</v>
      </c>
      <c r="C251" s="304">
        <f>Ressources!H251</f>
        <v>1076839.0412606355</v>
      </c>
      <c r="D251" s="304">
        <f>Ressources!L251</f>
        <v>0</v>
      </c>
      <c r="E251" s="332">
        <f>Ressources!T251</f>
        <v>8242.1266613999032</v>
      </c>
      <c r="F251" s="305">
        <f t="shared" si="15"/>
        <v>1085081.1679220353</v>
      </c>
      <c r="G251" s="304">
        <f>'Besoins structurels'!I251</f>
        <v>0</v>
      </c>
      <c r="H251" s="304">
        <f>'Besoins structurels'!N251</f>
        <v>0</v>
      </c>
      <c r="I251" s="304">
        <f>'Besoins structurels'!V251</f>
        <v>0</v>
      </c>
      <c r="J251" s="306">
        <f t="shared" si="16"/>
        <v>0</v>
      </c>
      <c r="K251" s="304">
        <f>'Charges des villes'!N251</f>
        <v>250141.45430278161</v>
      </c>
      <c r="L251" s="304">
        <f>'Charges des villes'!U251</f>
        <v>54118.851076896295</v>
      </c>
      <c r="M251" s="299">
        <f t="shared" si="17"/>
        <v>304260.30537967791</v>
      </c>
      <c r="N251" s="305">
        <f>-VLOOKUP(A251,Paramètres!$B$23:$C$316,2,FALSE)*$N$5</f>
        <v>0</v>
      </c>
      <c r="O251" s="319"/>
      <c r="P251" s="598">
        <f t="shared" si="18"/>
        <v>1389341.4733017134</v>
      </c>
      <c r="Q251" s="599"/>
      <c r="R251" s="599"/>
      <c r="S251" s="600"/>
      <c r="T251" s="305">
        <f>PCS!D251</f>
        <v>533337.47653970146</v>
      </c>
      <c r="U251" s="300">
        <f>Police!U251</f>
        <v>79744.411384674415</v>
      </c>
      <c r="V251" s="333">
        <f t="shared" si="19"/>
        <v>2002423.3612260893</v>
      </c>
      <c r="W251" s="177"/>
      <c r="X251" s="177"/>
      <c r="Y251" s="177"/>
      <c r="Z251" s="15"/>
    </row>
    <row r="252" spans="1:26" x14ac:dyDescent="0.25">
      <c r="A252" s="108">
        <f>Données!A252</f>
        <v>5853</v>
      </c>
      <c r="B252" s="116" t="str">
        <f>Données!B252</f>
        <v>Bursins</v>
      </c>
      <c r="C252" s="304">
        <f>Ressources!H252</f>
        <v>178030.9380703085</v>
      </c>
      <c r="D252" s="304">
        <f>Ressources!L252</f>
        <v>0</v>
      </c>
      <c r="E252" s="332">
        <f>Ressources!T252</f>
        <v>67202.724917052925</v>
      </c>
      <c r="F252" s="305">
        <f t="shared" si="15"/>
        <v>245233.66298736143</v>
      </c>
      <c r="G252" s="304">
        <f>'Besoins structurels'!I252</f>
        <v>0</v>
      </c>
      <c r="H252" s="304">
        <f>'Besoins structurels'!N252</f>
        <v>0</v>
      </c>
      <c r="I252" s="304">
        <f>'Besoins structurels'!V252</f>
        <v>-3083</v>
      </c>
      <c r="J252" s="306">
        <f t="shared" si="16"/>
        <v>-3083</v>
      </c>
      <c r="K252" s="304">
        <f>'Charges des villes'!N252</f>
        <v>388537.47387964773</v>
      </c>
      <c r="L252" s="304">
        <f>'Charges des villes'!U252</f>
        <v>84061.243448412744</v>
      </c>
      <c r="M252" s="299">
        <f t="shared" si="17"/>
        <v>472598.71732806048</v>
      </c>
      <c r="N252" s="305">
        <f>-VLOOKUP(A252,Paramètres!$B$23:$C$316,2,FALSE)*$N$5</f>
        <v>0</v>
      </c>
      <c r="O252" s="319"/>
      <c r="P252" s="598">
        <f t="shared" si="18"/>
        <v>714749.38031542185</v>
      </c>
      <c r="Q252" s="599"/>
      <c r="R252" s="599"/>
      <c r="S252" s="600"/>
      <c r="T252" s="305">
        <f>PCS!D252</f>
        <v>828417.65047568572</v>
      </c>
      <c r="U252" s="300">
        <f>Police!U252</f>
        <v>123864.68385170923</v>
      </c>
      <c r="V252" s="333">
        <f t="shared" si="19"/>
        <v>1667031.7146428167</v>
      </c>
      <c r="W252" s="177"/>
      <c r="X252" s="177"/>
      <c r="Y252" s="177"/>
      <c r="Z252" s="15"/>
    </row>
    <row r="253" spans="1:26" x14ac:dyDescent="0.25">
      <c r="A253" s="108">
        <f>Données!A253</f>
        <v>5854</v>
      </c>
      <c r="B253" s="116" t="str">
        <f>Données!B253</f>
        <v>Burtigny</v>
      </c>
      <c r="C253" s="304">
        <f>Ressources!H253</f>
        <v>-289045.50537580502</v>
      </c>
      <c r="D253" s="304">
        <f>Ressources!L253</f>
        <v>0</v>
      </c>
      <c r="E253" s="332">
        <f>Ressources!T253</f>
        <v>-33987.131683124557</v>
      </c>
      <c r="F253" s="305">
        <f t="shared" si="15"/>
        <v>-323032.6370589296</v>
      </c>
      <c r="G253" s="304">
        <f>'Besoins structurels'!I253</f>
        <v>-27421</v>
      </c>
      <c r="H253" s="304">
        <f>'Besoins structurels'!N253</f>
        <v>-10818</v>
      </c>
      <c r="I253" s="304">
        <f>'Besoins structurels'!V253</f>
        <v>0</v>
      </c>
      <c r="J253" s="306">
        <f t="shared" si="16"/>
        <v>-38239</v>
      </c>
      <c r="K253" s="304">
        <f>'Charges des villes'!N253</f>
        <v>189826.97279799875</v>
      </c>
      <c r="L253" s="304">
        <f>'Charges des villes'!U253</f>
        <v>41069.632779850268</v>
      </c>
      <c r="M253" s="299">
        <f t="shared" si="17"/>
        <v>230896.60557784903</v>
      </c>
      <c r="N253" s="305">
        <f>-VLOOKUP(A253,Paramètres!$B$23:$C$316,2,FALSE)*$N$5</f>
        <v>0</v>
      </c>
      <c r="O253" s="319"/>
      <c r="P253" s="598">
        <f t="shared" si="18"/>
        <v>-130375.03148108057</v>
      </c>
      <c r="Q253" s="599"/>
      <c r="R253" s="599"/>
      <c r="S253" s="600"/>
      <c r="T253" s="305">
        <f>PCS!D253</f>
        <v>404738.34668246499</v>
      </c>
      <c r="U253" s="300">
        <f>Police!U253</f>
        <v>60516.319667622083</v>
      </c>
      <c r="V253" s="333">
        <f t="shared" si="19"/>
        <v>334879.63486900652</v>
      </c>
      <c r="W253" s="177"/>
      <c r="X253" s="177"/>
      <c r="Y253" s="177"/>
      <c r="Z253" s="15"/>
    </row>
    <row r="254" spans="1:26" x14ac:dyDescent="0.25">
      <c r="A254" s="108">
        <f>Données!A254</f>
        <v>5855</v>
      </c>
      <c r="B254" s="116" t="str">
        <f>Données!B254</f>
        <v>Dully</v>
      </c>
      <c r="C254" s="304">
        <f>Ressources!H254</f>
        <v>3595902.3856233526</v>
      </c>
      <c r="D254" s="304">
        <f>Ressources!L254</f>
        <v>0</v>
      </c>
      <c r="E254" s="332">
        <f>Ressources!T254</f>
        <v>113648.6624454425</v>
      </c>
      <c r="F254" s="305">
        <f t="shared" si="15"/>
        <v>3709551.0480687949</v>
      </c>
      <c r="G254" s="304">
        <f>'Besoins structurels'!I254</f>
        <v>0</v>
      </c>
      <c r="H254" s="304">
        <f>'Besoins structurels'!N254</f>
        <v>0</v>
      </c>
      <c r="I254" s="304">
        <f>'Besoins structurels'!V254</f>
        <v>0</v>
      </c>
      <c r="J254" s="306">
        <f t="shared" si="16"/>
        <v>0</v>
      </c>
      <c r="K254" s="304">
        <f>'Charges des villes'!N254</f>
        <v>297831.97456237738</v>
      </c>
      <c r="L254" s="304">
        <f>'Charges des villes'!U254</f>
        <v>64436.837637351287</v>
      </c>
      <c r="M254" s="299">
        <f t="shared" si="17"/>
        <v>362268.81219972868</v>
      </c>
      <c r="N254" s="305">
        <f>-VLOOKUP(A254,Paramètres!$B$23:$C$316,2,FALSE)*$N$5</f>
        <v>0</v>
      </c>
      <c r="O254" s="319"/>
      <c r="P254" s="598">
        <f t="shared" si="18"/>
        <v>4071819.8602685235</v>
      </c>
      <c r="Q254" s="599"/>
      <c r="R254" s="599"/>
      <c r="S254" s="600"/>
      <c r="T254" s="305">
        <f>PCS!D254</f>
        <v>635020.5094500744</v>
      </c>
      <c r="U254" s="300">
        <f>Police!U254</f>
        <v>94948.018788855334</v>
      </c>
      <c r="V254" s="333">
        <f t="shared" si="19"/>
        <v>4801788.3885074537</v>
      </c>
      <c r="W254" s="177"/>
      <c r="X254" s="177"/>
      <c r="Y254" s="177"/>
      <c r="Z254" s="15"/>
    </row>
    <row r="255" spans="1:26" x14ac:dyDescent="0.25">
      <c r="A255" s="108">
        <f>Données!A255</f>
        <v>5856</v>
      </c>
      <c r="B255" s="116" t="str">
        <f>Données!B255</f>
        <v>Essertines-sur-Rolle</v>
      </c>
      <c r="C255" s="304">
        <f>Ressources!H255</f>
        <v>171879.03012296863</v>
      </c>
      <c r="D255" s="304">
        <f>Ressources!L255</f>
        <v>0</v>
      </c>
      <c r="E255" s="332">
        <f>Ressources!T255</f>
        <v>-91110.159571443117</v>
      </c>
      <c r="F255" s="305">
        <f t="shared" si="15"/>
        <v>80768.870551525513</v>
      </c>
      <c r="G255" s="304">
        <f>'Besoins structurels'!I255</f>
        <v>-13089</v>
      </c>
      <c r="H255" s="304">
        <f>'Besoins structurels'!N255</f>
        <v>-5804</v>
      </c>
      <c r="I255" s="304">
        <f>'Besoins structurels'!V255</f>
        <v>-71335</v>
      </c>
      <c r="J255" s="306">
        <f t="shared" si="16"/>
        <v>-90228</v>
      </c>
      <c r="K255" s="304">
        <f>'Charges des villes'!N255</f>
        <v>360016.67254792864</v>
      </c>
      <c r="L255" s="304">
        <f>'Charges des villes'!U255</f>
        <v>77890.682858336717</v>
      </c>
      <c r="M255" s="299">
        <f t="shared" si="17"/>
        <v>437907.35540626536</v>
      </c>
      <c r="N255" s="305">
        <f>-VLOOKUP(A255,Paramètres!$B$23:$C$316,2,FALSE)*$N$5</f>
        <v>0</v>
      </c>
      <c r="O255" s="319"/>
      <c r="P255" s="598">
        <f t="shared" si="18"/>
        <v>428448.22595779086</v>
      </c>
      <c r="Q255" s="599"/>
      <c r="R255" s="599"/>
      <c r="S255" s="600"/>
      <c r="T255" s="305">
        <f>PCS!D255</f>
        <v>767607.20922536461</v>
      </c>
      <c r="U255" s="300">
        <f>Police!U255</f>
        <v>114772.33040411083</v>
      </c>
      <c r="V255" s="333">
        <f t="shared" si="19"/>
        <v>1310827.7655872661</v>
      </c>
      <c r="W255" s="177"/>
      <c r="X255" s="177"/>
      <c r="Y255" s="177"/>
      <c r="Z255" s="15"/>
    </row>
    <row r="256" spans="1:26" x14ac:dyDescent="0.25">
      <c r="A256" s="108">
        <f>Données!A256</f>
        <v>5857</v>
      </c>
      <c r="B256" s="116" t="str">
        <f>Données!B256</f>
        <v>Gilly</v>
      </c>
      <c r="C256" s="304">
        <f>Ressources!H256</f>
        <v>1316066.5168386241</v>
      </c>
      <c r="D256" s="304">
        <f>Ressources!L256</f>
        <v>0</v>
      </c>
      <c r="E256" s="332">
        <f>Ressources!T256</f>
        <v>-9469.0891137561412</v>
      </c>
      <c r="F256" s="305">
        <f t="shared" si="15"/>
        <v>1306597.4277248681</v>
      </c>
      <c r="G256" s="304">
        <f>'Besoins structurels'!I256</f>
        <v>0</v>
      </c>
      <c r="H256" s="304">
        <f>'Besoins structurels'!N256</f>
        <v>-1877</v>
      </c>
      <c r="I256" s="304">
        <f>'Besoins structurels'!V256</f>
        <v>0</v>
      </c>
      <c r="J256" s="306">
        <f t="shared" si="16"/>
        <v>-1877</v>
      </c>
      <c r="K256" s="304">
        <f>'Charges des villes'!N256</f>
        <v>564926.6033331675</v>
      </c>
      <c r="L256" s="304">
        <f>'Charges des villes'!U256</f>
        <v>144552.96857735477</v>
      </c>
      <c r="M256" s="299">
        <f t="shared" si="17"/>
        <v>709479.5719105223</v>
      </c>
      <c r="N256" s="305">
        <f>-VLOOKUP(A256,Paramètres!$B$23:$C$316,2,FALSE)*$N$5</f>
        <v>0</v>
      </c>
      <c r="O256" s="319"/>
      <c r="P256" s="598">
        <f t="shared" si="18"/>
        <v>2014199.9996353905</v>
      </c>
      <c r="Q256" s="599"/>
      <c r="R256" s="599"/>
      <c r="S256" s="600"/>
      <c r="T256" s="305">
        <f>PCS!D256</f>
        <v>1424559.3532247352</v>
      </c>
      <c r="U256" s="300">
        <f>Police!U256</f>
        <v>223762.28794530791</v>
      </c>
      <c r="V256" s="333">
        <f t="shared" si="19"/>
        <v>3662521.6408054335</v>
      </c>
      <c r="W256" s="177"/>
      <c r="X256" s="177"/>
      <c r="Y256" s="177"/>
      <c r="Z256" s="15"/>
    </row>
    <row r="257" spans="1:26" x14ac:dyDescent="0.25">
      <c r="A257" s="108">
        <f>Données!A257</f>
        <v>5858</v>
      </c>
      <c r="B257" s="116" t="str">
        <f>Données!B257</f>
        <v>Luins</v>
      </c>
      <c r="C257" s="304">
        <f>Ressources!H257</f>
        <v>230938.5371799171</v>
      </c>
      <c r="D257" s="304">
        <f>Ressources!L257</f>
        <v>0</v>
      </c>
      <c r="E257" s="332">
        <f>Ressources!T257</f>
        <v>110948.26717438491</v>
      </c>
      <c r="F257" s="305">
        <f t="shared" si="15"/>
        <v>341886.804354302</v>
      </c>
      <c r="G257" s="304">
        <f>'Besoins structurels'!I257</f>
        <v>0</v>
      </c>
      <c r="H257" s="304">
        <f>'Besoins structurels'!N257</f>
        <v>0</v>
      </c>
      <c r="I257" s="304">
        <f>'Besoins structurels'!V257</f>
        <v>-9984</v>
      </c>
      <c r="J257" s="306">
        <f t="shared" si="16"/>
        <v>-9984</v>
      </c>
      <c r="K257" s="304">
        <f>'Charges des villes'!N257</f>
        <v>299234.63692295377</v>
      </c>
      <c r="L257" s="304">
        <f>'Charges des villes'!U257</f>
        <v>64740.307830305843</v>
      </c>
      <c r="M257" s="299">
        <f t="shared" si="17"/>
        <v>363974.9447532596</v>
      </c>
      <c r="N257" s="305">
        <f>-VLOOKUP(A257,Paramètres!$B$23:$C$316,2,FALSE)*$N$5</f>
        <v>0</v>
      </c>
      <c r="O257" s="319"/>
      <c r="P257" s="598">
        <f t="shared" si="18"/>
        <v>695877.74910756154</v>
      </c>
      <c r="Q257" s="599"/>
      <c r="R257" s="599"/>
      <c r="S257" s="600"/>
      <c r="T257" s="305">
        <f>PCS!D257</f>
        <v>638011.18688861479</v>
      </c>
      <c r="U257" s="300">
        <f>Police!U257</f>
        <v>95395.183712507715</v>
      </c>
      <c r="V257" s="333">
        <f t="shared" si="19"/>
        <v>1429284.1197086838</v>
      </c>
      <c r="W257" s="177"/>
      <c r="X257" s="177"/>
      <c r="Y257" s="177"/>
      <c r="Z257" s="15"/>
    </row>
    <row r="258" spans="1:26" x14ac:dyDescent="0.25">
      <c r="A258" s="108">
        <f>Données!A258</f>
        <v>5859</v>
      </c>
      <c r="B258" s="116" t="str">
        <f>Données!B258</f>
        <v>Mont-sur-Rolle</v>
      </c>
      <c r="C258" s="304">
        <f>Ressources!H258</f>
        <v>2477708.5197462891</v>
      </c>
      <c r="D258" s="304">
        <f>Ressources!L258</f>
        <v>0</v>
      </c>
      <c r="E258" s="332">
        <f>Ressources!T258</f>
        <v>91231.955717387376</v>
      </c>
      <c r="F258" s="305">
        <f t="shared" si="15"/>
        <v>2568940.4754636763</v>
      </c>
      <c r="G258" s="304">
        <f>'Besoins structurels'!I258</f>
        <v>0</v>
      </c>
      <c r="H258" s="304">
        <f>'Besoins structurels'!N258</f>
        <v>-663</v>
      </c>
      <c r="I258" s="304">
        <f>'Besoins structurels'!V258</f>
        <v>0</v>
      </c>
      <c r="J258" s="306">
        <f t="shared" si="16"/>
        <v>-663</v>
      </c>
      <c r="K258" s="304">
        <f>'Charges des villes'!N258</f>
        <v>866803.99861894781</v>
      </c>
      <c r="L258" s="304">
        <f>'Charges des villes'!U258</f>
        <v>279091.42078720912</v>
      </c>
      <c r="M258" s="299">
        <f t="shared" si="17"/>
        <v>1145895.419406157</v>
      </c>
      <c r="N258" s="305">
        <f>-VLOOKUP(A258,Paramètres!$B$23:$C$316,2,FALSE)*$N$5</f>
        <v>0</v>
      </c>
      <c r="O258" s="319"/>
      <c r="P258" s="598">
        <f t="shared" si="18"/>
        <v>3714172.8948698333</v>
      </c>
      <c r="Q258" s="599"/>
      <c r="R258" s="599"/>
      <c r="S258" s="600"/>
      <c r="T258" s="305">
        <f>PCS!D258</f>
        <v>2750426.3509776378</v>
      </c>
      <c r="U258" s="300">
        <f>Police!U258</f>
        <v>455372.37376046984</v>
      </c>
      <c r="V258" s="333">
        <f t="shared" si="19"/>
        <v>6919971.6196079412</v>
      </c>
      <c r="W258" s="177"/>
      <c r="X258" s="177"/>
      <c r="Y258" s="177"/>
      <c r="Z258" s="15"/>
    </row>
    <row r="259" spans="1:26" x14ac:dyDescent="0.25">
      <c r="A259" s="108">
        <f>Données!A259</f>
        <v>5860</v>
      </c>
      <c r="B259" s="116" t="str">
        <f>Données!B259</f>
        <v>Perroy</v>
      </c>
      <c r="C259" s="304">
        <f>Ressources!H259</f>
        <v>2028982.9149034244</v>
      </c>
      <c r="D259" s="304">
        <f>Ressources!L259</f>
        <v>0</v>
      </c>
      <c r="E259" s="332">
        <f>Ressources!T259</f>
        <v>-70344.022124519513</v>
      </c>
      <c r="F259" s="305">
        <f t="shared" si="15"/>
        <v>1958638.8927789049</v>
      </c>
      <c r="G259" s="304">
        <f>'Besoins structurels'!I259</f>
        <v>0</v>
      </c>
      <c r="H259" s="304">
        <f>'Besoins structurels'!N259</f>
        <v>0</v>
      </c>
      <c r="I259" s="304">
        <f>'Besoins structurels'!V259</f>
        <v>0</v>
      </c>
      <c r="J259" s="306">
        <f t="shared" si="16"/>
        <v>0</v>
      </c>
      <c r="K259" s="304">
        <f>'Charges des villes'!N259</f>
        <v>597611.07319869567</v>
      </c>
      <c r="L259" s="304">
        <f>'Charges des villes'!U259</f>
        <v>159119.5378391736</v>
      </c>
      <c r="M259" s="299">
        <f t="shared" si="17"/>
        <v>756730.61103786924</v>
      </c>
      <c r="N259" s="305">
        <f>-VLOOKUP(A259,Paramètres!$B$23:$C$316,2,FALSE)*$N$5</f>
        <v>0</v>
      </c>
      <c r="O259" s="319"/>
      <c r="P259" s="598">
        <f t="shared" si="18"/>
        <v>2715369.5038167741</v>
      </c>
      <c r="Q259" s="599"/>
      <c r="R259" s="599"/>
      <c r="S259" s="600"/>
      <c r="T259" s="305">
        <f>PCS!D259</f>
        <v>1568111.8702746734</v>
      </c>
      <c r="U259" s="300">
        <f>Police!U259</f>
        <v>248838.86866514501</v>
      </c>
      <c r="V259" s="333">
        <f t="shared" si="19"/>
        <v>4532320.2427565921</v>
      </c>
      <c r="W259" s="177"/>
      <c r="X259" s="177"/>
      <c r="Y259" s="177"/>
      <c r="Z259" s="15"/>
    </row>
    <row r="260" spans="1:26" x14ac:dyDescent="0.25">
      <c r="A260" s="108">
        <f>Données!A260</f>
        <v>5861</v>
      </c>
      <c r="B260" s="116" t="str">
        <f>Données!B260</f>
        <v>Rolle</v>
      </c>
      <c r="C260" s="304">
        <f>Ressources!H260</f>
        <v>27578962.160216052</v>
      </c>
      <c r="D260" s="304">
        <f>Ressources!L260</f>
        <v>0</v>
      </c>
      <c r="E260" s="332">
        <f>Ressources!T260</f>
        <v>291156.38831193442</v>
      </c>
      <c r="F260" s="305">
        <f t="shared" si="15"/>
        <v>27870118.548527986</v>
      </c>
      <c r="G260" s="304">
        <f>'Besoins structurels'!I260</f>
        <v>0</v>
      </c>
      <c r="H260" s="304">
        <f>'Besoins structurels'!N260</f>
        <v>0</v>
      </c>
      <c r="I260" s="304">
        <f>'Besoins structurels'!V260</f>
        <v>0</v>
      </c>
      <c r="J260" s="306">
        <f t="shared" si="16"/>
        <v>0</v>
      </c>
      <c r="K260" s="304">
        <f>'Charges des villes'!N260</f>
        <v>679802.58284467319</v>
      </c>
      <c r="L260" s="304">
        <f>'Charges des villes'!U260</f>
        <v>440616.19142396841</v>
      </c>
      <c r="M260" s="299">
        <f t="shared" si="17"/>
        <v>1120418.7742686416</v>
      </c>
      <c r="N260" s="305">
        <f>-VLOOKUP(A260,Paramètres!$B$23:$C$316,2,FALSE)*$N$5</f>
        <v>0</v>
      </c>
      <c r="O260" s="319"/>
      <c r="P260" s="598">
        <f t="shared" si="18"/>
        <v>28990537.322796628</v>
      </c>
      <c r="Q260" s="599"/>
      <c r="R260" s="599"/>
      <c r="S260" s="600"/>
      <c r="T260" s="305">
        <f>PCS!D260</f>
        <v>6583477.9347068937</v>
      </c>
      <c r="U260" s="300">
        <f>Police!U260</f>
        <v>1190280.9218512408</v>
      </c>
      <c r="V260" s="333">
        <f t="shared" si="19"/>
        <v>36764296.179354765</v>
      </c>
      <c r="W260" s="177"/>
      <c r="X260" s="177"/>
      <c r="Y260" s="177"/>
      <c r="Z260" s="15"/>
    </row>
    <row r="261" spans="1:26" x14ac:dyDescent="0.25">
      <c r="A261" s="108">
        <f>Données!A261</f>
        <v>5862</v>
      </c>
      <c r="B261" s="116" t="str">
        <f>Données!B261</f>
        <v>Tartegnin</v>
      </c>
      <c r="C261" s="304">
        <f>Ressources!H261</f>
        <v>-81869.395166217233</v>
      </c>
      <c r="D261" s="304">
        <f>Ressources!L261</f>
        <v>0</v>
      </c>
      <c r="E261" s="332">
        <f>Ressources!T261</f>
        <v>-30884.707226720791</v>
      </c>
      <c r="F261" s="305">
        <f t="shared" si="15"/>
        <v>-112754.10239293802</v>
      </c>
      <c r="G261" s="304">
        <f>'Besoins structurels'!I261</f>
        <v>0</v>
      </c>
      <c r="H261" s="304">
        <f>'Besoins structurels'!N261</f>
        <v>0</v>
      </c>
      <c r="I261" s="304">
        <f>'Besoins structurels'!V261</f>
        <v>0</v>
      </c>
      <c r="J261" s="306">
        <f t="shared" si="16"/>
        <v>0</v>
      </c>
      <c r="K261" s="304">
        <f>'Charges des villes'!N261</f>
        <v>115018.31356726032</v>
      </c>
      <c r="L261" s="304">
        <f>'Charges des villes'!U261</f>
        <v>24884.555822273811</v>
      </c>
      <c r="M261" s="299">
        <f t="shared" si="17"/>
        <v>139902.86938953414</v>
      </c>
      <c r="N261" s="305">
        <f>-VLOOKUP(A261,Paramètres!$B$23:$C$316,2,FALSE)*$N$5</f>
        <v>0</v>
      </c>
      <c r="O261" s="319"/>
      <c r="P261" s="598">
        <f t="shared" si="18"/>
        <v>27148.766996596125</v>
      </c>
      <c r="Q261" s="599"/>
      <c r="R261" s="599"/>
      <c r="S261" s="600"/>
      <c r="T261" s="305">
        <f>PCS!D261</f>
        <v>245235.5499603113</v>
      </c>
      <c r="U261" s="300">
        <f>Police!U261</f>
        <v>36667.523739495155</v>
      </c>
      <c r="V261" s="333">
        <f t="shared" si="19"/>
        <v>309051.84069640253</v>
      </c>
      <c r="W261" s="177"/>
      <c r="X261" s="177"/>
      <c r="Y261" s="177"/>
      <c r="Z261" s="15"/>
    </row>
    <row r="262" spans="1:26" x14ac:dyDescent="0.25">
      <c r="A262" s="108">
        <f>Données!A262</f>
        <v>5863</v>
      </c>
      <c r="B262" s="116" t="str">
        <f>Données!B262</f>
        <v>Vinzel</v>
      </c>
      <c r="C262" s="304">
        <f>Ressources!H262</f>
        <v>133522.5803680048</v>
      </c>
      <c r="D262" s="304">
        <f>Ressources!L262</f>
        <v>0</v>
      </c>
      <c r="E262" s="332">
        <f>Ressources!T262</f>
        <v>-18463.569785721556</v>
      </c>
      <c r="F262" s="305">
        <f t="shared" ref="F262:F301" si="20">SUM(C262:E262)</f>
        <v>115059.01058228324</v>
      </c>
      <c r="G262" s="304">
        <f>'Besoins structurels'!I262</f>
        <v>0</v>
      </c>
      <c r="H262" s="304">
        <f>'Besoins structurels'!N262</f>
        <v>0</v>
      </c>
      <c r="I262" s="304">
        <f>'Besoins structurels'!V262</f>
        <v>0</v>
      </c>
      <c r="J262" s="306">
        <f t="shared" ref="J262:J301" si="21">SUM(G262:I262)</f>
        <v>0</v>
      </c>
      <c r="K262" s="304">
        <f>'Charges des villes'!N262</f>
        <v>180008.33627396432</v>
      </c>
      <c r="L262" s="304">
        <f>'Charges des villes'!U262</f>
        <v>38945.341429168358</v>
      </c>
      <c r="M262" s="299">
        <f t="shared" ref="M262:M301" si="22">SUM(K262:L262)</f>
        <v>218953.67770313268</v>
      </c>
      <c r="N262" s="305">
        <f>-VLOOKUP(A262,Paramètres!$B$23:$C$316,2,FALSE)*$N$5</f>
        <v>0</v>
      </c>
      <c r="O262" s="319"/>
      <c r="P262" s="598">
        <f t="shared" ref="P262:P301" si="23">F262+J262+M262+N262</f>
        <v>334012.68828541593</v>
      </c>
      <c r="Q262" s="599"/>
      <c r="R262" s="599"/>
      <c r="S262" s="600"/>
      <c r="T262" s="305">
        <f>PCS!D262</f>
        <v>383803.60461268231</v>
      </c>
      <c r="U262" s="300">
        <f>Police!U262</f>
        <v>57386.165202055417</v>
      </c>
      <c r="V262" s="333">
        <f t="shared" ref="V262:V301" si="24">P262+T262+U262</f>
        <v>775202.4581001536</v>
      </c>
      <c r="W262" s="177"/>
      <c r="X262" s="177"/>
      <c r="Y262" s="177"/>
      <c r="Z262" s="15"/>
    </row>
    <row r="263" spans="1:26" x14ac:dyDescent="0.25">
      <c r="A263" s="108">
        <f>Données!A263</f>
        <v>5940</v>
      </c>
      <c r="B263" s="116" t="str">
        <f>Données!B263</f>
        <v>La Vallée de Joux</v>
      </c>
      <c r="C263" s="304">
        <f>Ressources!H263</f>
        <v>3819110.7048114375</v>
      </c>
      <c r="D263" s="304">
        <f>Ressources!L263</f>
        <v>0</v>
      </c>
      <c r="E263" s="332">
        <f>Ressources!T263</f>
        <v>1587332.718890585</v>
      </c>
      <c r="F263" s="305">
        <f t="shared" si="20"/>
        <v>5406443.4237020221</v>
      </c>
      <c r="G263" s="304">
        <f>'Besoins structurels'!I263</f>
        <v>-1135146</v>
      </c>
      <c r="H263" s="304">
        <f>'Besoins structurels'!N263</f>
        <v>-606722</v>
      </c>
      <c r="I263" s="304">
        <f>'Besoins structurels'!V263</f>
        <v>0</v>
      </c>
      <c r="J263" s="306">
        <f t="shared" si="21"/>
        <v>-1741868</v>
      </c>
      <c r="K263" s="304">
        <f>'Charges des villes'!N263</f>
        <v>631985.18884036504</v>
      </c>
      <c r="L263" s="304">
        <f>'Charges des villes'!U263</f>
        <v>740163.80061616853</v>
      </c>
      <c r="M263" s="299">
        <f t="shared" si="22"/>
        <v>1372148.9894565335</v>
      </c>
      <c r="N263" s="305">
        <f>-VLOOKUP(A263,Paramètres!$B$23:$C$316,2,FALSE)*$N$5</f>
        <v>-261975</v>
      </c>
      <c r="O263" s="319"/>
      <c r="P263" s="598">
        <f t="shared" si="23"/>
        <v>4774749.4131585555</v>
      </c>
      <c r="Q263" s="599"/>
      <c r="R263" s="599"/>
      <c r="S263" s="600"/>
      <c r="T263" s="305">
        <f>PCS!D263</f>
        <v>7294262.2725999905</v>
      </c>
      <c r="U263" s="300">
        <f>Police!U263</f>
        <v>1332332.5312915784</v>
      </c>
      <c r="V263" s="333">
        <f t="shared" si="24"/>
        <v>13401344.217050124</v>
      </c>
      <c r="W263" s="177"/>
      <c r="X263" s="177"/>
      <c r="Y263" s="177"/>
      <c r="Z263" s="15"/>
    </row>
    <row r="264" spans="1:26" x14ac:dyDescent="0.25">
      <c r="A264" s="108">
        <f>Données!A264</f>
        <v>5882</v>
      </c>
      <c r="B264" s="116" t="str">
        <f>Données!B264</f>
        <v>Chardonne</v>
      </c>
      <c r="C264" s="304">
        <f>Ressources!H264</f>
        <v>1424658.9755592067</v>
      </c>
      <c r="D264" s="304">
        <f>Ressources!L264</f>
        <v>0</v>
      </c>
      <c r="E264" s="332">
        <f>Ressources!T264</f>
        <v>357953.17424706044</v>
      </c>
      <c r="F264" s="305">
        <f t="shared" si="20"/>
        <v>1782612.1498062671</v>
      </c>
      <c r="G264" s="304">
        <f>'Besoins structurels'!I264</f>
        <v>0</v>
      </c>
      <c r="H264" s="304">
        <f>'Besoins structurels'!N264</f>
        <v>-214181</v>
      </c>
      <c r="I264" s="304">
        <f>'Besoins structurels'!V264</f>
        <v>0</v>
      </c>
      <c r="J264" s="306">
        <f t="shared" si="21"/>
        <v>-214181</v>
      </c>
      <c r="K264" s="304">
        <f>'Charges des villes'!N264</f>
        <v>895752.10415445012</v>
      </c>
      <c r="L264" s="304">
        <f>'Charges des villes'!U264</f>
        <v>342314.37765274214</v>
      </c>
      <c r="M264" s="299">
        <f t="shared" si="22"/>
        <v>1238066.4818071923</v>
      </c>
      <c r="N264" s="305">
        <f>-VLOOKUP(A264,Paramètres!$B$23:$C$316,2,FALSE)*$N$5</f>
        <v>0</v>
      </c>
      <c r="O264" s="319"/>
      <c r="P264" s="598">
        <f t="shared" si="23"/>
        <v>2806497.6316134594</v>
      </c>
      <c r="Q264" s="599"/>
      <c r="R264" s="599"/>
      <c r="S264" s="600"/>
      <c r="T264" s="305">
        <f>PCS!D264</f>
        <v>3373484.1506735506</v>
      </c>
      <c r="U264" s="300">
        <f>Police!U264</f>
        <v>104861.29678672014</v>
      </c>
      <c r="V264" s="333">
        <f t="shared" si="24"/>
        <v>6284843.0790737299</v>
      </c>
      <c r="W264" s="177"/>
      <c r="X264" s="177"/>
      <c r="Y264" s="177"/>
      <c r="Z264" s="15"/>
    </row>
    <row r="265" spans="1:26" x14ac:dyDescent="0.25">
      <c r="A265" s="108">
        <f>Données!A265</f>
        <v>5883</v>
      </c>
      <c r="B265" s="116" t="str">
        <f>Données!B265</f>
        <v>Corseaux</v>
      </c>
      <c r="C265" s="304">
        <f>Ressources!H265</f>
        <v>4258204.077476983</v>
      </c>
      <c r="D265" s="304">
        <f>Ressources!L265</f>
        <v>0</v>
      </c>
      <c r="E265" s="332">
        <f>Ressources!T265</f>
        <v>177940.26484003017</v>
      </c>
      <c r="F265" s="305">
        <f t="shared" si="20"/>
        <v>4436144.3423170131</v>
      </c>
      <c r="G265" s="304">
        <f>'Besoins structurels'!I265</f>
        <v>0</v>
      </c>
      <c r="H265" s="304">
        <f>'Besoins structurels'!N265</f>
        <v>0</v>
      </c>
      <c r="I265" s="304">
        <f>'Besoins structurels'!V265</f>
        <v>0</v>
      </c>
      <c r="J265" s="306">
        <f t="shared" si="21"/>
        <v>0</v>
      </c>
      <c r="K265" s="304">
        <f>'Charges des villes'!N265</f>
        <v>768523.61353718629</v>
      </c>
      <c r="L265" s="304">
        <f>'Charges des villes'!U265</f>
        <v>58319.596270767797</v>
      </c>
      <c r="M265" s="299">
        <f t="shared" si="22"/>
        <v>826843.20980795403</v>
      </c>
      <c r="N265" s="305">
        <f>-VLOOKUP(A265,Paramètres!$B$23:$C$316,2,FALSE)*$N$5</f>
        <v>0</v>
      </c>
      <c r="O265" s="319"/>
      <c r="P265" s="598">
        <f t="shared" si="23"/>
        <v>5262987.5521249669</v>
      </c>
      <c r="Q265" s="599"/>
      <c r="R265" s="599"/>
      <c r="S265" s="600"/>
      <c r="T265" s="305">
        <f>PCS!D265</f>
        <v>2318771.9073483092</v>
      </c>
      <c r="U265" s="300">
        <f>Police!U265</f>
        <v>72076.647850446519</v>
      </c>
      <c r="V265" s="333">
        <f t="shared" si="24"/>
        <v>7653836.1073237229</v>
      </c>
      <c r="W265" s="177"/>
      <c r="X265" s="177"/>
      <c r="Y265" s="177"/>
      <c r="Z265" s="15"/>
    </row>
    <row r="266" spans="1:26" x14ac:dyDescent="0.25">
      <c r="A266" s="108">
        <f>Données!A266</f>
        <v>5884</v>
      </c>
      <c r="B266" s="116" t="str">
        <f>Données!B266</f>
        <v>Corsier-sur-Vevey</v>
      </c>
      <c r="C266" s="304">
        <f>Ressources!H266</f>
        <v>1621012.5613158806</v>
      </c>
      <c r="D266" s="304">
        <f>Ressources!L266</f>
        <v>0</v>
      </c>
      <c r="E266" s="332">
        <f>Ressources!T266</f>
        <v>35440.277560973773</v>
      </c>
      <c r="F266" s="305">
        <f t="shared" si="20"/>
        <v>1656452.8388768544</v>
      </c>
      <c r="G266" s="304">
        <f>'Besoins structurels'!I266</f>
        <v>0</v>
      </c>
      <c r="H266" s="304">
        <f>'Besoins structurels'!N266</f>
        <v>-165580</v>
      </c>
      <c r="I266" s="304">
        <f>'Besoins structurels'!V266</f>
        <v>0</v>
      </c>
      <c r="J266" s="306">
        <f t="shared" si="21"/>
        <v>-165580</v>
      </c>
      <c r="K266" s="304">
        <f>'Charges des villes'!N266</f>
        <v>890789.28906844906</v>
      </c>
      <c r="L266" s="304">
        <f>'Charges des villes'!U266</f>
        <v>-155359.23025437864</v>
      </c>
      <c r="M266" s="299">
        <f t="shared" si="22"/>
        <v>735430.05881407042</v>
      </c>
      <c r="N266" s="305">
        <f>-VLOOKUP(A266,Paramètres!$B$23:$C$316,2,FALSE)*$N$5</f>
        <v>0</v>
      </c>
      <c r="O266" s="319"/>
      <c r="P266" s="598">
        <f t="shared" si="23"/>
        <v>2226302.8976909248</v>
      </c>
      <c r="Q266" s="599"/>
      <c r="R266" s="599"/>
      <c r="S266" s="600"/>
      <c r="T266" s="305">
        <f>PCS!D266</f>
        <v>3447254.1941575464</v>
      </c>
      <c r="U266" s="300">
        <f>Police!U266</f>
        <v>107154.36296940845</v>
      </c>
      <c r="V266" s="333">
        <f t="shared" si="24"/>
        <v>5780711.4548178799</v>
      </c>
      <c r="W266" s="177"/>
      <c r="X266" s="177"/>
      <c r="Y266" s="177"/>
      <c r="Z266" s="15"/>
    </row>
    <row r="267" spans="1:26" x14ac:dyDescent="0.25">
      <c r="A267" s="108">
        <f>Données!A267</f>
        <v>5885</v>
      </c>
      <c r="B267" s="116" t="str">
        <f>Données!B267</f>
        <v>Jongny</v>
      </c>
      <c r="C267" s="304">
        <f>Ressources!H267</f>
        <v>361507.28338321846</v>
      </c>
      <c r="D267" s="304">
        <f>Ressources!L267</f>
        <v>0</v>
      </c>
      <c r="E267" s="332">
        <f>Ressources!T267</f>
        <v>-122027.1982057876</v>
      </c>
      <c r="F267" s="305">
        <f t="shared" si="20"/>
        <v>239480.08517743085</v>
      </c>
      <c r="G267" s="304">
        <f>'Besoins structurels'!I267</f>
        <v>0</v>
      </c>
      <c r="H267" s="304">
        <f>'Besoins structurels'!N267</f>
        <v>-23023</v>
      </c>
      <c r="I267" s="304">
        <f>'Besoins structurels'!V267</f>
        <v>0</v>
      </c>
      <c r="J267" s="306">
        <f t="shared" si="21"/>
        <v>-23023</v>
      </c>
      <c r="K267" s="304">
        <f>'Charges des villes'!N267</f>
        <v>675690.64009967935</v>
      </c>
      <c r="L267" s="304">
        <f>'Charges des villes'!U267</f>
        <v>193917.45329796299</v>
      </c>
      <c r="M267" s="299">
        <f t="shared" si="22"/>
        <v>869608.09339764237</v>
      </c>
      <c r="N267" s="305">
        <f>-VLOOKUP(A267,Paramètres!$B$23:$C$316,2,FALSE)*$N$5</f>
        <v>0</v>
      </c>
      <c r="O267" s="319"/>
      <c r="P267" s="598">
        <f t="shared" si="23"/>
        <v>1086065.1785750731</v>
      </c>
      <c r="Q267" s="599"/>
      <c r="R267" s="599"/>
      <c r="S267" s="600"/>
      <c r="T267" s="305">
        <f>PCS!D267</f>
        <v>1911042.8832273039</v>
      </c>
      <c r="U267" s="300">
        <f>Police!U267</f>
        <v>59402.809083966458</v>
      </c>
      <c r="V267" s="333">
        <f t="shared" si="24"/>
        <v>3056510.8708863435</v>
      </c>
      <c r="W267" s="177"/>
      <c r="X267" s="177"/>
      <c r="Y267" s="177"/>
      <c r="Z267" s="15"/>
    </row>
    <row r="268" spans="1:26" x14ac:dyDescent="0.25">
      <c r="A268" s="108">
        <f>Données!A268</f>
        <v>5886</v>
      </c>
      <c r="B268" s="116" t="str">
        <f>Données!B268</f>
        <v>Montreux</v>
      </c>
      <c r="C268" s="304">
        <f>Ressources!H268</f>
        <v>-8452505.7371610142</v>
      </c>
      <c r="D268" s="304">
        <f>Ressources!L268</f>
        <v>0</v>
      </c>
      <c r="E268" s="332">
        <f>Ressources!T268</f>
        <v>6496139.2104833461</v>
      </c>
      <c r="F268" s="305">
        <f t="shared" si="20"/>
        <v>-1956366.5266776681</v>
      </c>
      <c r="G268" s="304">
        <f>'Besoins structurels'!I268</f>
        <v>0</v>
      </c>
      <c r="H268" s="304">
        <f>'Besoins structurels'!N268</f>
        <v>-627160</v>
      </c>
      <c r="I268" s="304">
        <f>'Besoins structurels'!V268</f>
        <v>0</v>
      </c>
      <c r="J268" s="306">
        <f t="shared" si="21"/>
        <v>-627160</v>
      </c>
      <c r="K268" s="304">
        <f>'Charges des villes'!N268</f>
        <v>-7430633.0300103594</v>
      </c>
      <c r="L268" s="304">
        <f>'Charges des villes'!U268</f>
        <v>666524.79593451298</v>
      </c>
      <c r="M268" s="299">
        <f t="shared" si="22"/>
        <v>-6764108.2340758462</v>
      </c>
      <c r="N268" s="305">
        <f>-VLOOKUP(A268,Paramètres!$B$23:$C$316,2,FALSE)*$N$5</f>
        <v>0</v>
      </c>
      <c r="O268" s="319"/>
      <c r="P268" s="598">
        <f t="shared" si="23"/>
        <v>-9347634.7607535142</v>
      </c>
      <c r="Q268" s="599"/>
      <c r="R268" s="599"/>
      <c r="S268" s="600"/>
      <c r="T268" s="305">
        <f>PCS!D268</f>
        <v>27081581.098462671</v>
      </c>
      <c r="U268" s="300">
        <f>Police!U268</f>
        <v>841803.18809339218</v>
      </c>
      <c r="V268" s="333">
        <f t="shared" si="24"/>
        <v>18575749.525802553</v>
      </c>
      <c r="W268" s="177"/>
      <c r="X268" s="177"/>
      <c r="Y268" s="177"/>
      <c r="Z268" s="15"/>
    </row>
    <row r="269" spans="1:26" x14ac:dyDescent="0.25">
      <c r="A269" s="108">
        <f>Données!A269</f>
        <v>5889</v>
      </c>
      <c r="B269" s="116" t="str">
        <f>Données!B269</f>
        <v>La Tour-de-Peilz</v>
      </c>
      <c r="C269" s="304">
        <f>Ressources!H269</f>
        <v>6081972.7216566857</v>
      </c>
      <c r="D269" s="304">
        <f>Ressources!L269</f>
        <v>0</v>
      </c>
      <c r="E269" s="332">
        <f>Ressources!T269</f>
        <v>-880016.87437148951</v>
      </c>
      <c r="F269" s="305">
        <f t="shared" si="20"/>
        <v>5201955.8472851962</v>
      </c>
      <c r="G269" s="304">
        <f>'Besoins structurels'!I269</f>
        <v>0</v>
      </c>
      <c r="H269" s="304">
        <f>'Besoins structurels'!N269</f>
        <v>0</v>
      </c>
      <c r="I269" s="304">
        <f>'Besoins structurels'!V269</f>
        <v>0</v>
      </c>
      <c r="J269" s="306">
        <f t="shared" si="21"/>
        <v>0</v>
      </c>
      <c r="K269" s="304">
        <f>'Charges des villes'!N269</f>
        <v>-174915.54984448757</v>
      </c>
      <c r="L269" s="304">
        <f>'Charges des villes'!U269</f>
        <v>324828.4275452845</v>
      </c>
      <c r="M269" s="299">
        <f t="shared" si="22"/>
        <v>149912.87770079693</v>
      </c>
      <c r="N269" s="305">
        <f>-VLOOKUP(A269,Paramètres!$B$23:$C$316,2,FALSE)*$N$5</f>
        <v>0</v>
      </c>
      <c r="O269" s="319"/>
      <c r="P269" s="598">
        <f t="shared" si="23"/>
        <v>5351868.7249859935</v>
      </c>
      <c r="Q269" s="599"/>
      <c r="R269" s="599"/>
      <c r="S269" s="600"/>
      <c r="T269" s="305">
        <f>PCS!D269</f>
        <v>13012437.5350892</v>
      </c>
      <c r="U269" s="300">
        <f>Police!U269</f>
        <v>404478.28219771216</v>
      </c>
      <c r="V269" s="333">
        <f t="shared" si="24"/>
        <v>18768784.542272907</v>
      </c>
      <c r="W269" s="177"/>
      <c r="X269" s="177"/>
      <c r="Y269" s="177"/>
      <c r="Z269" s="15"/>
    </row>
    <row r="270" spans="1:26" x14ac:dyDescent="0.25">
      <c r="A270" s="108">
        <f>Données!A270</f>
        <v>5890</v>
      </c>
      <c r="B270" s="116" t="str">
        <f>Données!B270</f>
        <v>Vevey</v>
      </c>
      <c r="C270" s="304">
        <f>Ressources!H270</f>
        <v>5181874.4327349178</v>
      </c>
      <c r="D270" s="304">
        <f>Ressources!L270</f>
        <v>0</v>
      </c>
      <c r="E270" s="332">
        <f>Ressources!T270</f>
        <v>-1421206.6532235723</v>
      </c>
      <c r="F270" s="305">
        <f t="shared" si="20"/>
        <v>3760667.7795113456</v>
      </c>
      <c r="G270" s="304">
        <f>'Besoins structurels'!I270</f>
        <v>0</v>
      </c>
      <c r="H270" s="304">
        <f>'Besoins structurels'!N270</f>
        <v>0</v>
      </c>
      <c r="I270" s="304">
        <f>'Besoins structurels'!V270</f>
        <v>0</v>
      </c>
      <c r="J270" s="306">
        <f t="shared" si="21"/>
        <v>0</v>
      </c>
      <c r="K270" s="304">
        <f>'Charges des villes'!N270</f>
        <v>-3786972.7627481557</v>
      </c>
      <c r="L270" s="304">
        <f>'Charges des villes'!U270</f>
        <v>248964.62854334642</v>
      </c>
      <c r="M270" s="299">
        <f t="shared" si="22"/>
        <v>-3538008.1342048096</v>
      </c>
      <c r="N270" s="305">
        <f>-VLOOKUP(A270,Paramètres!$B$23:$C$316,2,FALSE)*$N$5</f>
        <v>0</v>
      </c>
      <c r="O270" s="319"/>
      <c r="P270" s="598">
        <f t="shared" si="23"/>
        <v>222659.645306536</v>
      </c>
      <c r="Q270" s="599"/>
      <c r="R270" s="599"/>
      <c r="S270" s="600"/>
      <c r="T270" s="305">
        <f>PCS!D270</f>
        <v>20116293.344102122</v>
      </c>
      <c r="U270" s="300">
        <f>Police!U270</f>
        <v>625294.35811442835</v>
      </c>
      <c r="V270" s="333">
        <f t="shared" si="24"/>
        <v>20964247.347523086</v>
      </c>
      <c r="W270" s="177"/>
      <c r="X270" s="177"/>
      <c r="Y270" s="177"/>
      <c r="Z270" s="15"/>
    </row>
    <row r="271" spans="1:26" x14ac:dyDescent="0.25">
      <c r="A271" s="108">
        <f>Données!A271</f>
        <v>5891</v>
      </c>
      <c r="B271" s="116" t="str">
        <f>Données!B271</f>
        <v>Veytaux</v>
      </c>
      <c r="C271" s="304">
        <f>Ressources!H271</f>
        <v>-757691.13429781282</v>
      </c>
      <c r="D271" s="304">
        <f>Ressources!L271</f>
        <v>0</v>
      </c>
      <c r="E271" s="332">
        <f>Ressources!T271</f>
        <v>-115171.66607534372</v>
      </c>
      <c r="F271" s="305">
        <f t="shared" si="20"/>
        <v>-872862.80037315655</v>
      </c>
      <c r="G271" s="304">
        <f>'Besoins structurels'!I271</f>
        <v>0</v>
      </c>
      <c r="H271" s="304">
        <f>'Besoins structurels'!N271</f>
        <v>-8290</v>
      </c>
      <c r="I271" s="304">
        <f>'Besoins structurels'!V271</f>
        <v>0</v>
      </c>
      <c r="J271" s="306">
        <f t="shared" si="21"/>
        <v>-8290</v>
      </c>
      <c r="K271" s="304">
        <f>'Charges des villes'!N271</f>
        <v>469369.92407353345</v>
      </c>
      <c r="L271" s="304">
        <f>'Charges des villes'!U271</f>
        <v>-29123.539167268304</v>
      </c>
      <c r="M271" s="299">
        <f t="shared" si="22"/>
        <v>440246.38490626513</v>
      </c>
      <c r="N271" s="305">
        <f>-VLOOKUP(A271,Paramètres!$B$23:$C$316,2,FALSE)*$N$5</f>
        <v>-190575</v>
      </c>
      <c r="O271" s="319"/>
      <c r="P271" s="598">
        <f t="shared" si="23"/>
        <v>-631481.41546689137</v>
      </c>
      <c r="Q271" s="599"/>
      <c r="R271" s="599"/>
      <c r="S271" s="600"/>
      <c r="T271" s="305">
        <f>PCS!D271</f>
        <v>1004867.6193495683</v>
      </c>
      <c r="U271" s="300">
        <f>Police!U271</f>
        <v>31235.279893916635</v>
      </c>
      <c r="V271" s="333">
        <f t="shared" si="24"/>
        <v>404621.48377659352</v>
      </c>
      <c r="W271" s="177"/>
      <c r="X271" s="177"/>
      <c r="Y271" s="177"/>
      <c r="Z271" s="15"/>
    </row>
    <row r="272" spans="1:26" x14ac:dyDescent="0.25">
      <c r="A272" s="108">
        <f>Données!A272</f>
        <v>5892</v>
      </c>
      <c r="B272" s="116" t="str">
        <f>Données!B272</f>
        <v>Blonay-Saint-Légier</v>
      </c>
      <c r="C272" s="304">
        <f>Ressources!H272</f>
        <v>5799093.0101389615</v>
      </c>
      <c r="D272" s="304">
        <f>Ressources!L272</f>
        <v>0</v>
      </c>
      <c r="E272" s="332">
        <f>Ressources!T272</f>
        <v>953644.26182926074</v>
      </c>
      <c r="F272" s="305">
        <f t="shared" si="20"/>
        <v>6752737.2719682222</v>
      </c>
      <c r="G272" s="304">
        <f>'Besoins structurels'!I272</f>
        <v>0</v>
      </c>
      <c r="H272" s="304">
        <f>'Besoins structurels'!N272</f>
        <v>-212604</v>
      </c>
      <c r="I272" s="304">
        <f>'Besoins structurels'!V272</f>
        <v>0</v>
      </c>
      <c r="J272" s="306">
        <f t="shared" si="21"/>
        <v>-212604</v>
      </c>
      <c r="K272" s="304">
        <f>'Charges des villes'!N272</f>
        <v>38505.884107550606</v>
      </c>
      <c r="L272" s="304">
        <f>'Charges des villes'!U272</f>
        <v>673255.54021619179</v>
      </c>
      <c r="M272" s="299">
        <f t="shared" si="22"/>
        <v>711761.42432374239</v>
      </c>
      <c r="N272" s="305">
        <f>-VLOOKUP(A272,Paramètres!$B$23:$C$316,2,FALSE)*$N$5</f>
        <v>-243300</v>
      </c>
      <c r="O272" s="319"/>
      <c r="P272" s="598">
        <f t="shared" si="23"/>
        <v>7008594.6962919645</v>
      </c>
      <c r="Q272" s="599"/>
      <c r="R272" s="599"/>
      <c r="S272" s="600"/>
      <c r="T272" s="305">
        <f>PCS!D272</f>
        <v>12557854.564431062</v>
      </c>
      <c r="U272" s="300">
        <f>Police!U272</f>
        <v>390348.03653141652</v>
      </c>
      <c r="V272" s="333">
        <f t="shared" si="24"/>
        <v>19956797.297254439</v>
      </c>
      <c r="W272" s="177"/>
      <c r="X272" s="177"/>
      <c r="Y272" s="177"/>
      <c r="Z272" s="15"/>
    </row>
    <row r="273" spans="1:26" x14ac:dyDescent="0.25">
      <c r="A273" s="108">
        <f>Données!A273</f>
        <v>5902</v>
      </c>
      <c r="B273" s="116" t="str">
        <f>Données!B273</f>
        <v>Belmont-sur-Yverdon</v>
      </c>
      <c r="C273" s="304">
        <f>Ressources!H273</f>
        <v>-645499.59260242246</v>
      </c>
      <c r="D273" s="304">
        <f>Ressources!L273</f>
        <v>-4697</v>
      </c>
      <c r="E273" s="332">
        <f>Ressources!T273</f>
        <v>-60278.261291103263</v>
      </c>
      <c r="F273" s="305">
        <f t="shared" si="20"/>
        <v>-710474.85389352567</v>
      </c>
      <c r="G273" s="304">
        <f>'Besoins structurels'!I273</f>
        <v>-32419</v>
      </c>
      <c r="H273" s="304">
        <f>'Besoins structurels'!N273</f>
        <v>0</v>
      </c>
      <c r="I273" s="304">
        <f>'Besoins structurels'!V273</f>
        <v>-27622</v>
      </c>
      <c r="J273" s="306">
        <f t="shared" si="21"/>
        <v>-60041</v>
      </c>
      <c r="K273" s="304">
        <f>'Charges des villes'!N273</f>
        <v>213672.23292779663</v>
      </c>
      <c r="L273" s="304">
        <f>'Charges des villes'!U273</f>
        <v>46228.626060077768</v>
      </c>
      <c r="M273" s="299">
        <f t="shared" si="22"/>
        <v>259900.85898787441</v>
      </c>
      <c r="N273" s="305">
        <f>-VLOOKUP(A273,Paramètres!$B$23:$C$316,2,FALSE)*$N$5</f>
        <v>0</v>
      </c>
      <c r="O273" s="319"/>
      <c r="P273" s="598">
        <f t="shared" si="23"/>
        <v>-510614.99490565126</v>
      </c>
      <c r="Q273" s="599"/>
      <c r="R273" s="599"/>
      <c r="S273" s="600"/>
      <c r="T273" s="305">
        <f>PCS!D273</f>
        <v>455579.86313765147</v>
      </c>
      <c r="U273" s="300">
        <f>Police!U273</f>
        <v>68118.123369712543</v>
      </c>
      <c r="V273" s="333">
        <f t="shared" si="24"/>
        <v>13082.991601712754</v>
      </c>
      <c r="W273" s="177"/>
      <c r="X273" s="177"/>
      <c r="Y273" s="177"/>
      <c r="Z273" s="15"/>
    </row>
    <row r="274" spans="1:26" x14ac:dyDescent="0.25">
      <c r="A274" s="108">
        <f>Données!A274</f>
        <v>5903</v>
      </c>
      <c r="B274" s="116" t="str">
        <f>Données!B274</f>
        <v>Bioley-Magnoux</v>
      </c>
      <c r="C274" s="304">
        <f>Ressources!H274</f>
        <v>-335480.50378193631</v>
      </c>
      <c r="D274" s="304">
        <f>Ressources!L274</f>
        <v>0</v>
      </c>
      <c r="E274" s="332">
        <f>Ressources!T274</f>
        <v>-16939.412768835929</v>
      </c>
      <c r="F274" s="305">
        <f t="shared" si="20"/>
        <v>-352419.91655077226</v>
      </c>
      <c r="G274" s="304">
        <f>'Besoins structurels'!I274</f>
        <v>-25338</v>
      </c>
      <c r="H274" s="304">
        <f>'Besoins structurels'!N274</f>
        <v>0</v>
      </c>
      <c r="I274" s="304">
        <f>'Besoins structurels'!V274</f>
        <v>-54867</v>
      </c>
      <c r="J274" s="306">
        <f t="shared" si="21"/>
        <v>-80205</v>
      </c>
      <c r="K274" s="304">
        <f>'Charges des villes'!N274</f>
        <v>117823.63828841303</v>
      </c>
      <c r="L274" s="304">
        <f>'Charges des villes'!U274</f>
        <v>25491.496208182925</v>
      </c>
      <c r="M274" s="299">
        <f t="shared" si="22"/>
        <v>143315.13449659594</v>
      </c>
      <c r="N274" s="305">
        <f>-VLOOKUP(A274,Paramètres!$B$23:$C$316,2,FALSE)*$N$5</f>
        <v>-79275</v>
      </c>
      <c r="O274" s="319"/>
      <c r="P274" s="598">
        <f t="shared" si="23"/>
        <v>-368584.78205417632</v>
      </c>
      <c r="Q274" s="599"/>
      <c r="R274" s="599"/>
      <c r="S274" s="600"/>
      <c r="T274" s="305">
        <f>PCS!D274</f>
        <v>251216.90483739207</v>
      </c>
      <c r="U274" s="300">
        <f>Police!U274</f>
        <v>37561.853586799916</v>
      </c>
      <c r="V274" s="333">
        <f t="shared" si="24"/>
        <v>-79806.023629984338</v>
      </c>
      <c r="W274" s="177"/>
      <c r="X274" s="177"/>
      <c r="Y274" s="177"/>
      <c r="Z274" s="15"/>
    </row>
    <row r="275" spans="1:26" x14ac:dyDescent="0.25">
      <c r="A275" s="108">
        <f>Données!A275</f>
        <v>5904</v>
      </c>
      <c r="B275" s="116" t="str">
        <f>Données!B275</f>
        <v>Chamblon</v>
      </c>
      <c r="C275" s="304">
        <f>Ressources!H275</f>
        <v>-339181.59853443317</v>
      </c>
      <c r="D275" s="304">
        <f>Ressources!L275</f>
        <v>0</v>
      </c>
      <c r="E275" s="332">
        <f>Ressources!T275</f>
        <v>-41358.120416708131</v>
      </c>
      <c r="F275" s="305">
        <f t="shared" si="20"/>
        <v>-380539.71895114129</v>
      </c>
      <c r="G275" s="304">
        <f>'Besoins structurels'!I275</f>
        <v>0</v>
      </c>
      <c r="H275" s="304">
        <f>'Besoins structurels'!N275</f>
        <v>0</v>
      </c>
      <c r="I275" s="304">
        <f>'Besoins structurels'!V275</f>
        <v>0</v>
      </c>
      <c r="J275" s="306">
        <f t="shared" si="21"/>
        <v>0</v>
      </c>
      <c r="K275" s="304">
        <f>'Charges des villes'!N275</f>
        <v>260895.19906720024</v>
      </c>
      <c r="L275" s="304">
        <f>'Charges des villes'!U275</f>
        <v>56445.455889547913</v>
      </c>
      <c r="M275" s="299">
        <f t="shared" si="22"/>
        <v>317340.65495674813</v>
      </c>
      <c r="N275" s="305">
        <f>-VLOOKUP(A275,Paramètres!$B$23:$C$316,2,FALSE)*$N$5</f>
        <v>0</v>
      </c>
      <c r="O275" s="319"/>
      <c r="P275" s="598">
        <f t="shared" si="23"/>
        <v>-63199.06399439316</v>
      </c>
      <c r="Q275" s="599"/>
      <c r="R275" s="599"/>
      <c r="S275" s="600"/>
      <c r="T275" s="305">
        <f>PCS!D275</f>
        <v>556266.00356851099</v>
      </c>
      <c r="U275" s="300">
        <f>Police!U275</f>
        <v>17290.958512703852</v>
      </c>
      <c r="V275" s="333">
        <f t="shared" si="24"/>
        <v>510357.89808682166</v>
      </c>
      <c r="W275" s="177"/>
      <c r="X275" s="177"/>
      <c r="Y275" s="177"/>
      <c r="Z275" s="15"/>
    </row>
    <row r="276" spans="1:26" x14ac:dyDescent="0.25">
      <c r="A276" s="108">
        <f>Données!A276</f>
        <v>5905</v>
      </c>
      <c r="B276" s="116" t="str">
        <f>Données!B276</f>
        <v>Champvent</v>
      </c>
      <c r="C276" s="304">
        <f>Ressources!H276</f>
        <v>-969014.93840757117</v>
      </c>
      <c r="D276" s="304">
        <f>Ressources!L276</f>
        <v>-5009</v>
      </c>
      <c r="E276" s="332">
        <f>Ressources!T276</f>
        <v>-80668.607523946295</v>
      </c>
      <c r="F276" s="305">
        <f t="shared" si="20"/>
        <v>-1054692.5459315174</v>
      </c>
      <c r="G276" s="304">
        <f>'Besoins structurels'!I276</f>
        <v>-40409</v>
      </c>
      <c r="H276" s="304">
        <f>'Besoins structurels'!N276</f>
        <v>0</v>
      </c>
      <c r="I276" s="304">
        <f>'Besoins structurels'!V276</f>
        <v>-26312</v>
      </c>
      <c r="J276" s="306">
        <f t="shared" si="21"/>
        <v>-66721</v>
      </c>
      <c r="K276" s="304">
        <f>'Charges des villes'!N276</f>
        <v>323547.45117294369</v>
      </c>
      <c r="L276" s="304">
        <f>'Charges des villes'!U276</f>
        <v>70000.45784151819</v>
      </c>
      <c r="M276" s="299">
        <f t="shared" si="22"/>
        <v>393547.90901446191</v>
      </c>
      <c r="N276" s="305">
        <f>-VLOOKUP(A276,Paramètres!$B$23:$C$316,2,FALSE)*$N$5</f>
        <v>0</v>
      </c>
      <c r="O276" s="319"/>
      <c r="P276" s="598">
        <f t="shared" si="23"/>
        <v>-727865.63691705547</v>
      </c>
      <c r="Q276" s="599"/>
      <c r="R276" s="599"/>
      <c r="S276" s="600"/>
      <c r="T276" s="305">
        <f>PCS!D276</f>
        <v>689849.59582331474</v>
      </c>
      <c r="U276" s="300">
        <f>Police!U276</f>
        <v>103146.04238914896</v>
      </c>
      <c r="V276" s="333">
        <f t="shared" si="24"/>
        <v>65130.001295408234</v>
      </c>
      <c r="W276" s="177"/>
      <c r="X276" s="177"/>
      <c r="Y276" s="177"/>
      <c r="Z276" s="15"/>
    </row>
    <row r="277" spans="1:26" x14ac:dyDescent="0.25">
      <c r="A277" s="108">
        <f>Données!A277</f>
        <v>5907</v>
      </c>
      <c r="B277" s="116" t="str">
        <f>Données!B277</f>
        <v>Chavannes-le-Chêne</v>
      </c>
      <c r="C277" s="304">
        <f>Ressources!H277</f>
        <v>-450983.61534078507</v>
      </c>
      <c r="D277" s="304">
        <f>Ressources!L277</f>
        <v>0</v>
      </c>
      <c r="E277" s="332">
        <f>Ressources!T277</f>
        <v>-56427.229725980244</v>
      </c>
      <c r="F277" s="305">
        <f t="shared" si="20"/>
        <v>-507410.84506676532</v>
      </c>
      <c r="G277" s="304">
        <f>'Besoins structurels'!I277</f>
        <v>-16061</v>
      </c>
      <c r="H277" s="304">
        <f>'Besoins structurels'!N277</f>
        <v>0</v>
      </c>
      <c r="I277" s="304">
        <f>'Besoins structurels'!V277</f>
        <v>0</v>
      </c>
      <c r="J277" s="306">
        <f t="shared" si="21"/>
        <v>-16061</v>
      </c>
      <c r="K277" s="304">
        <f>'Charges des villes'!N277</f>
        <v>153825.3055432059</v>
      </c>
      <c r="L277" s="304">
        <f>'Charges des villes'!U277</f>
        <v>33280.564494016602</v>
      </c>
      <c r="M277" s="299">
        <f t="shared" si="22"/>
        <v>187105.87003722251</v>
      </c>
      <c r="N277" s="305">
        <f>-VLOOKUP(A277,Paramètres!$B$23:$C$316,2,FALSE)*$N$5</f>
        <v>-20850</v>
      </c>
      <c r="O277" s="319"/>
      <c r="P277" s="598">
        <f t="shared" si="23"/>
        <v>-357215.97502954281</v>
      </c>
      <c r="Q277" s="599"/>
      <c r="R277" s="599"/>
      <c r="S277" s="600"/>
      <c r="T277" s="305">
        <f>PCS!D277</f>
        <v>327977.62575992855</v>
      </c>
      <c r="U277" s="300">
        <f>Police!U277</f>
        <v>49039.086627211</v>
      </c>
      <c r="V277" s="333">
        <f t="shared" si="24"/>
        <v>19800.737357596736</v>
      </c>
      <c r="W277" s="177"/>
      <c r="X277" s="177"/>
      <c r="Y277" s="177"/>
      <c r="Z277" s="15"/>
    </row>
    <row r="278" spans="1:26" x14ac:dyDescent="0.25">
      <c r="A278" s="108">
        <f>Données!A278</f>
        <v>5908</v>
      </c>
      <c r="B278" s="116" t="str">
        <f>Données!B278</f>
        <v>Chêne-Pâquier</v>
      </c>
      <c r="C278" s="304">
        <f>Ressources!H278</f>
        <v>-234195.02774613505</v>
      </c>
      <c r="D278" s="304">
        <f>Ressources!L278</f>
        <v>0</v>
      </c>
      <c r="E278" s="332">
        <f>Ressources!T278</f>
        <v>-32797.560540634055</v>
      </c>
      <c r="F278" s="305">
        <f t="shared" si="20"/>
        <v>-266992.58828676911</v>
      </c>
      <c r="G278" s="304">
        <f>'Besoins structurels'!I278</f>
        <v>-8231</v>
      </c>
      <c r="H278" s="304">
        <f>'Besoins structurels'!N278</f>
        <v>0</v>
      </c>
      <c r="I278" s="304">
        <f>'Besoins structurels'!V278</f>
        <v>-47364</v>
      </c>
      <c r="J278" s="306">
        <f t="shared" si="21"/>
        <v>-55595</v>
      </c>
      <c r="K278" s="304">
        <f>'Charges des villes'!N278</f>
        <v>80419.308673043808</v>
      </c>
      <c r="L278" s="304">
        <f>'Charges des villes'!U278</f>
        <v>17398.957729394697</v>
      </c>
      <c r="M278" s="299">
        <f t="shared" si="22"/>
        <v>97818.266402438501</v>
      </c>
      <c r="N278" s="305">
        <f>-VLOOKUP(A278,Paramètres!$B$23:$C$316,2,FALSE)*$N$5</f>
        <v>0</v>
      </c>
      <c r="O278" s="319"/>
      <c r="P278" s="598">
        <f t="shared" si="23"/>
        <v>-224769.32188433059</v>
      </c>
      <c r="Q278" s="599"/>
      <c r="R278" s="599"/>
      <c r="S278" s="600"/>
      <c r="T278" s="305">
        <f>PCS!D278</f>
        <v>171465.5064763152</v>
      </c>
      <c r="U278" s="300">
        <f>Police!U278</f>
        <v>25637.455622736448</v>
      </c>
      <c r="V278" s="333">
        <f t="shared" si="24"/>
        <v>-27666.359785278943</v>
      </c>
      <c r="W278" s="177"/>
      <c r="X278" s="177"/>
      <c r="Y278" s="177"/>
      <c r="Z278" s="15"/>
    </row>
    <row r="279" spans="1:26" x14ac:dyDescent="0.25">
      <c r="A279" s="108">
        <f>Données!A279</f>
        <v>5909</v>
      </c>
      <c r="B279" s="116" t="str">
        <f>Données!B279</f>
        <v>Cheseaux-Noréaz</v>
      </c>
      <c r="C279" s="304">
        <f>Ressources!H279</f>
        <v>-165888.61630051417</v>
      </c>
      <c r="D279" s="304">
        <f>Ressources!L279</f>
        <v>0</v>
      </c>
      <c r="E279" s="332">
        <f>Ressources!T279</f>
        <v>-44245.822312630014</v>
      </c>
      <c r="F279" s="305">
        <f t="shared" si="20"/>
        <v>-210134.43861314419</v>
      </c>
      <c r="G279" s="304">
        <f>'Besoins structurels'!I279</f>
        <v>0</v>
      </c>
      <c r="H279" s="304">
        <f>'Besoins structurels'!N279</f>
        <v>0</v>
      </c>
      <c r="I279" s="304">
        <f>'Besoins structurels'!V279</f>
        <v>0</v>
      </c>
      <c r="J279" s="306">
        <f t="shared" si="21"/>
        <v>0</v>
      </c>
      <c r="K279" s="304">
        <f>'Charges des villes'!N279</f>
        <v>348327.81954312581</v>
      </c>
      <c r="L279" s="304">
        <f>'Charges des villes'!U279</f>
        <v>13739.364583715404</v>
      </c>
      <c r="M279" s="299">
        <f t="shared" si="22"/>
        <v>362067.1841268412</v>
      </c>
      <c r="N279" s="305">
        <f>-VLOOKUP(A279,Paramètres!$B$23:$C$316,2,FALSE)*$N$5</f>
        <v>0</v>
      </c>
      <c r="O279" s="319"/>
      <c r="P279" s="598">
        <f t="shared" si="23"/>
        <v>151932.74551369701</v>
      </c>
      <c r="Q279" s="599"/>
      <c r="R279" s="599"/>
      <c r="S279" s="600"/>
      <c r="T279" s="305">
        <f>PCS!D279</f>
        <v>742684.89723752812</v>
      </c>
      <c r="U279" s="300">
        <f>Police!U279</f>
        <v>23085.598731118942</v>
      </c>
      <c r="V279" s="333">
        <f t="shared" si="24"/>
        <v>917703.24148234411</v>
      </c>
      <c r="W279" s="177"/>
      <c r="X279" s="177"/>
      <c r="Y279" s="177"/>
      <c r="Z279" s="15"/>
    </row>
    <row r="280" spans="1:26" x14ac:dyDescent="0.25">
      <c r="A280" s="108">
        <f>Données!A280</f>
        <v>5910</v>
      </c>
      <c r="B280" s="116" t="str">
        <f>Données!B280</f>
        <v>Cronay</v>
      </c>
      <c r="C280" s="304">
        <f>Ressources!H280</f>
        <v>-635943.0338967666</v>
      </c>
      <c r="D280" s="304">
        <f>Ressources!L280</f>
        <v>-10879</v>
      </c>
      <c r="E280" s="332">
        <f>Ressources!T280</f>
        <v>-54017.93403229017</v>
      </c>
      <c r="F280" s="305">
        <f t="shared" si="20"/>
        <v>-700839.96792905673</v>
      </c>
      <c r="G280" s="304">
        <f>'Besoins structurels'!I280</f>
        <v>-35386</v>
      </c>
      <c r="H280" s="304">
        <f>'Besoins structurels'!N280</f>
        <v>0</v>
      </c>
      <c r="I280" s="304">
        <f>'Besoins structurels'!V280</f>
        <v>-50738</v>
      </c>
      <c r="J280" s="306">
        <f t="shared" si="21"/>
        <v>-86124</v>
      </c>
      <c r="K280" s="304">
        <f>'Charges des villes'!N280</f>
        <v>201983.37992299377</v>
      </c>
      <c r="L280" s="304">
        <f>'Charges des villes'!U280</f>
        <v>43699.707785456449</v>
      </c>
      <c r="M280" s="299">
        <f t="shared" si="22"/>
        <v>245683.08770845021</v>
      </c>
      <c r="N280" s="305">
        <f>-VLOOKUP(A280,Paramètres!$B$23:$C$316,2,FALSE)*$N$5</f>
        <v>0</v>
      </c>
      <c r="O280" s="319"/>
      <c r="P280" s="598">
        <f t="shared" si="23"/>
        <v>-541280.88022060646</v>
      </c>
      <c r="Q280" s="599"/>
      <c r="R280" s="599"/>
      <c r="S280" s="600"/>
      <c r="T280" s="305">
        <f>PCS!D280</f>
        <v>430657.55114981497</v>
      </c>
      <c r="U280" s="300">
        <f>Police!U280</f>
        <v>64391.749005942707</v>
      </c>
      <c r="V280" s="333">
        <f t="shared" si="24"/>
        <v>-46231.580064848778</v>
      </c>
      <c r="W280" s="177"/>
      <c r="X280" s="177"/>
      <c r="Y280" s="177"/>
      <c r="Z280" s="15"/>
    </row>
    <row r="281" spans="1:26" x14ac:dyDescent="0.25">
      <c r="A281" s="108">
        <f>Données!A281</f>
        <v>5911</v>
      </c>
      <c r="B281" s="116" t="str">
        <f>Données!B281</f>
        <v>Cuarny</v>
      </c>
      <c r="C281" s="304">
        <f>Ressources!H281</f>
        <v>-283334.43309999665</v>
      </c>
      <c r="D281" s="304">
        <f>Ressources!L281</f>
        <v>0</v>
      </c>
      <c r="E281" s="332">
        <f>Ressources!T281</f>
        <v>-43007.262046015741</v>
      </c>
      <c r="F281" s="305">
        <f t="shared" si="20"/>
        <v>-326341.69514601241</v>
      </c>
      <c r="G281" s="304">
        <f>'Besoins structurels'!I281</f>
        <v>-29615</v>
      </c>
      <c r="H281" s="304">
        <f>'Besoins structurels'!N281</f>
        <v>0</v>
      </c>
      <c r="I281" s="304">
        <f>'Besoins structurels'!V281</f>
        <v>-12053</v>
      </c>
      <c r="J281" s="306">
        <f t="shared" si="21"/>
        <v>-41668</v>
      </c>
      <c r="K281" s="304">
        <f>'Charges des villes'!N281</f>
        <v>114083.20532687611</v>
      </c>
      <c r="L281" s="304">
        <f>'Charges des villes'!U281</f>
        <v>24682.242360304102</v>
      </c>
      <c r="M281" s="299">
        <f t="shared" si="22"/>
        <v>138765.44768718022</v>
      </c>
      <c r="N281" s="305">
        <f>-VLOOKUP(A281,Paramètres!$B$23:$C$316,2,FALSE)*$N$5</f>
        <v>0</v>
      </c>
      <c r="O281" s="319"/>
      <c r="P281" s="598">
        <f t="shared" si="23"/>
        <v>-229244.24745883219</v>
      </c>
      <c r="Q281" s="599"/>
      <c r="R281" s="599"/>
      <c r="S281" s="600"/>
      <c r="T281" s="305">
        <f>PCS!D281</f>
        <v>243241.76500128437</v>
      </c>
      <c r="U281" s="300">
        <f>Police!U281</f>
        <v>36369.413790393563</v>
      </c>
      <c r="V281" s="333">
        <f t="shared" si="24"/>
        <v>50366.931332845736</v>
      </c>
      <c r="W281" s="177"/>
      <c r="X281" s="177"/>
      <c r="Y281" s="177"/>
      <c r="Z281" s="15"/>
    </row>
    <row r="282" spans="1:26" x14ac:dyDescent="0.25">
      <c r="A282" s="108">
        <f>Données!A282</f>
        <v>5912</v>
      </c>
      <c r="B282" s="116" t="str">
        <f>Données!B282</f>
        <v>Démoret</v>
      </c>
      <c r="C282" s="304">
        <f>Ressources!H282</f>
        <v>-249519.74337713551</v>
      </c>
      <c r="D282" s="304">
        <f>Ressources!L282</f>
        <v>-326</v>
      </c>
      <c r="E282" s="332">
        <f>Ressources!T282</f>
        <v>-26585.001353806758</v>
      </c>
      <c r="F282" s="305">
        <f t="shared" si="20"/>
        <v>-276430.7447309423</v>
      </c>
      <c r="G282" s="304">
        <f>'Besoins structurels'!I282</f>
        <v>-31353</v>
      </c>
      <c r="H282" s="304">
        <f>'Besoins structurels'!N282</f>
        <v>-1408</v>
      </c>
      <c r="I282" s="304">
        <f>'Besoins structurels'!V282</f>
        <v>-66714</v>
      </c>
      <c r="J282" s="306">
        <f t="shared" si="21"/>
        <v>-99475</v>
      </c>
      <c r="K282" s="304">
        <f>'Charges des villes'!N282</f>
        <v>84627.295754772844</v>
      </c>
      <c r="L282" s="304">
        <f>'Charges des villes'!U282</f>
        <v>18309.368308258374</v>
      </c>
      <c r="M282" s="299">
        <f t="shared" si="22"/>
        <v>102936.66406303122</v>
      </c>
      <c r="N282" s="305">
        <f>-VLOOKUP(A282,Paramètres!$B$23:$C$316,2,FALSE)*$N$5</f>
        <v>0</v>
      </c>
      <c r="O282" s="319"/>
      <c r="P282" s="598">
        <f t="shared" si="23"/>
        <v>-272969.0806679111</v>
      </c>
      <c r="Q282" s="599"/>
      <c r="R282" s="599"/>
      <c r="S282" s="600"/>
      <c r="T282" s="305">
        <f>PCS!D282</f>
        <v>180437.53879193636</v>
      </c>
      <c r="U282" s="300">
        <f>Police!U282</f>
        <v>26978.950393693587</v>
      </c>
      <c r="V282" s="333">
        <f t="shared" si="24"/>
        <v>-65552.591482281161</v>
      </c>
      <c r="W282" s="177"/>
      <c r="X282" s="177"/>
      <c r="Y282" s="177"/>
      <c r="Z282" s="15"/>
    </row>
    <row r="283" spans="1:26" x14ac:dyDescent="0.25">
      <c r="A283" s="108">
        <f>Données!A283</f>
        <v>5913</v>
      </c>
      <c r="B283" s="116" t="str">
        <f>Données!B283</f>
        <v>Donneloye</v>
      </c>
      <c r="C283" s="304">
        <f>Ressources!H283</f>
        <v>-1246553.5473608128</v>
      </c>
      <c r="D283" s="304">
        <f>Ressources!L283</f>
        <v>-1369</v>
      </c>
      <c r="E283" s="332">
        <f>Ressources!T283</f>
        <v>-113551.93676903378</v>
      </c>
      <c r="F283" s="305">
        <f t="shared" si="20"/>
        <v>-1361474.4841298466</v>
      </c>
      <c r="G283" s="304">
        <f>'Besoins structurels'!I283</f>
        <v>-22897</v>
      </c>
      <c r="H283" s="304">
        <f>'Besoins structurels'!N283</f>
        <v>0</v>
      </c>
      <c r="I283" s="304">
        <f>'Besoins structurels'!V283</f>
        <v>-92563</v>
      </c>
      <c r="J283" s="306">
        <f t="shared" si="21"/>
        <v>-115460</v>
      </c>
      <c r="K283" s="304">
        <f>'Charges des villes'!N283</f>
        <v>423136.47877386422</v>
      </c>
      <c r="L283" s="304">
        <f>'Charges des villes'!U283</f>
        <v>91546.841541291855</v>
      </c>
      <c r="M283" s="299">
        <f t="shared" si="22"/>
        <v>514683.32031515607</v>
      </c>
      <c r="N283" s="305">
        <f>-VLOOKUP(A283,Paramètres!$B$23:$C$316,2,FALSE)*$N$5</f>
        <v>0</v>
      </c>
      <c r="O283" s="319"/>
      <c r="P283" s="598">
        <f t="shared" si="23"/>
        <v>-962251.16381469043</v>
      </c>
      <c r="Q283" s="599"/>
      <c r="R283" s="599"/>
      <c r="S283" s="600"/>
      <c r="T283" s="305">
        <f>PCS!D283</f>
        <v>902187.69395968178</v>
      </c>
      <c r="U283" s="300">
        <f>Police!U283</f>
        <v>134894.75196846793</v>
      </c>
      <c r="V283" s="333">
        <f t="shared" si="24"/>
        <v>74831.282113459281</v>
      </c>
      <c r="W283" s="177"/>
      <c r="X283" s="177"/>
      <c r="Y283" s="177"/>
      <c r="Z283" s="15"/>
    </row>
    <row r="284" spans="1:26" x14ac:dyDescent="0.25">
      <c r="A284" s="108">
        <f>Données!A284</f>
        <v>5914</v>
      </c>
      <c r="B284" s="116" t="str">
        <f>Données!B284</f>
        <v>Ependes</v>
      </c>
      <c r="C284" s="304">
        <f>Ressources!H284</f>
        <v>-500929.54521321406</v>
      </c>
      <c r="D284" s="304">
        <f>Ressources!L284</f>
        <v>0</v>
      </c>
      <c r="E284" s="332">
        <f>Ressources!T284</f>
        <v>-1079.8139725488436</v>
      </c>
      <c r="F284" s="305">
        <f t="shared" si="20"/>
        <v>-502009.35918576294</v>
      </c>
      <c r="G284" s="304">
        <f>'Besoins structurels'!I284</f>
        <v>-19990</v>
      </c>
      <c r="H284" s="304">
        <f>'Besoins structurels'!N284</f>
        <v>0</v>
      </c>
      <c r="I284" s="304">
        <f>'Besoins structurels'!V284</f>
        <v>-24337</v>
      </c>
      <c r="J284" s="306">
        <f t="shared" si="21"/>
        <v>-44327</v>
      </c>
      <c r="K284" s="304">
        <f>'Charges des villes'!N284</f>
        <v>175800.3491922353</v>
      </c>
      <c r="L284" s="304">
        <f>'Charges des villes'!U284</f>
        <v>38034.930850304685</v>
      </c>
      <c r="M284" s="299">
        <f t="shared" si="22"/>
        <v>213835.28004253999</v>
      </c>
      <c r="N284" s="305">
        <f>-VLOOKUP(A284,Paramètres!$B$23:$C$316,2,FALSE)*$N$5</f>
        <v>0</v>
      </c>
      <c r="O284" s="319"/>
      <c r="P284" s="598">
        <f t="shared" si="23"/>
        <v>-332501.07914322295</v>
      </c>
      <c r="Q284" s="599"/>
      <c r="R284" s="599"/>
      <c r="S284" s="600"/>
      <c r="T284" s="305">
        <f>PCS!D284</f>
        <v>374831.57229706115</v>
      </c>
      <c r="U284" s="300">
        <f>Police!U284</f>
        <v>11651.255198524459</v>
      </c>
      <c r="V284" s="333">
        <f t="shared" si="24"/>
        <v>53981.748352362665</v>
      </c>
      <c r="W284" s="177"/>
      <c r="X284" s="177"/>
      <c r="Y284" s="177"/>
      <c r="Z284" s="15"/>
    </row>
    <row r="285" spans="1:26" x14ac:dyDescent="0.25">
      <c r="A285" s="108">
        <f>Données!A285</f>
        <v>5941</v>
      </c>
      <c r="B285" s="116" t="str">
        <f>Données!B285</f>
        <v>Mathod-Suscévaz</v>
      </c>
      <c r="C285" s="304">
        <f>Ressources!H285</f>
        <v>-1115367.4782813175</v>
      </c>
      <c r="D285" s="304">
        <f>Ressources!L285</f>
        <v>0</v>
      </c>
      <c r="E285" s="332">
        <f>Ressources!T285</f>
        <v>-67278.335623581137</v>
      </c>
      <c r="F285" s="305">
        <f t="shared" si="20"/>
        <v>-1182645.8139048987</v>
      </c>
      <c r="G285" s="304">
        <f>'Besoins structurels'!I285</f>
        <v>-31396</v>
      </c>
      <c r="H285" s="304">
        <f>'Besoins structurels'!N285</f>
        <v>0</v>
      </c>
      <c r="I285" s="304">
        <f>'Besoins structurels'!V285</f>
        <v>0</v>
      </c>
      <c r="J285" s="306">
        <f t="shared" si="21"/>
        <v>-31396</v>
      </c>
      <c r="K285" s="304">
        <f>'Charges des villes'!N285</f>
        <v>468235.04664764699</v>
      </c>
      <c r="L285" s="304">
        <f>'Charges des villes'!U285</f>
        <v>101460.20117780744</v>
      </c>
      <c r="M285" s="299">
        <f t="shared" si="22"/>
        <v>569695.24782545445</v>
      </c>
      <c r="N285" s="305">
        <f>-VLOOKUP(A285,Paramètres!$B$23:$C$316,2,FALSE)*$N$5</f>
        <v>0</v>
      </c>
      <c r="O285" s="319"/>
      <c r="P285" s="598">
        <f t="shared" si="23"/>
        <v>-644346.56607944425</v>
      </c>
      <c r="Q285" s="599"/>
      <c r="R285" s="599"/>
      <c r="S285" s="600"/>
      <c r="T285" s="305">
        <f>PCS!D285</f>
        <v>999883.15695200092</v>
      </c>
      <c r="U285" s="300">
        <f>Police!U285</f>
        <v>31080.342989680939</v>
      </c>
      <c r="V285" s="333">
        <f t="shared" si="24"/>
        <v>386616.93386223761</v>
      </c>
      <c r="W285" s="177"/>
      <c r="X285" s="177"/>
      <c r="Y285" s="177"/>
      <c r="Z285" s="15"/>
    </row>
    <row r="286" spans="1:26" x14ac:dyDescent="0.25">
      <c r="A286" s="108">
        <f>Données!A286</f>
        <v>5921</v>
      </c>
      <c r="B286" s="116" t="str">
        <f>Données!B286</f>
        <v>Molondin</v>
      </c>
      <c r="C286" s="304">
        <f>Ressources!H286</f>
        <v>-347025.46944160026</v>
      </c>
      <c r="D286" s="304">
        <f>Ressources!L286</f>
        <v>0</v>
      </c>
      <c r="E286" s="332">
        <f>Ressources!T286</f>
        <v>-19107.163491656123</v>
      </c>
      <c r="F286" s="305">
        <f t="shared" si="20"/>
        <v>-366132.63293325639</v>
      </c>
      <c r="G286" s="304">
        <f>'Besoins structurels'!I286</f>
        <v>-38169</v>
      </c>
      <c r="H286" s="304">
        <f>'Besoins structurels'!N286</f>
        <v>0</v>
      </c>
      <c r="I286" s="304">
        <f>'Besoins structurels'!V286</f>
        <v>-55125</v>
      </c>
      <c r="J286" s="306">
        <f t="shared" si="21"/>
        <v>-93294</v>
      </c>
      <c r="K286" s="304">
        <f>'Charges des villes'!N286</f>
        <v>121564.07124994992</v>
      </c>
      <c r="L286" s="304">
        <f>'Charges des villes'!U286</f>
        <v>26300.750056061752</v>
      </c>
      <c r="M286" s="299">
        <f t="shared" si="22"/>
        <v>147864.82130601167</v>
      </c>
      <c r="N286" s="305">
        <f>-VLOOKUP(A286,Paramètres!$B$23:$C$316,2,FALSE)*$N$5</f>
        <v>0</v>
      </c>
      <c r="O286" s="319"/>
      <c r="P286" s="598">
        <f t="shared" si="23"/>
        <v>-311561.81162724469</v>
      </c>
      <c r="Q286" s="599"/>
      <c r="R286" s="599"/>
      <c r="S286" s="600"/>
      <c r="T286" s="305">
        <f>PCS!D286</f>
        <v>259192.04467349974</v>
      </c>
      <c r="U286" s="300">
        <f>Police!U286</f>
        <v>38754.293383206255</v>
      </c>
      <c r="V286" s="333">
        <f t="shared" si="24"/>
        <v>-13615.473570538699</v>
      </c>
      <c r="W286" s="177"/>
      <c r="X286" s="177"/>
      <c r="Y286" s="177"/>
      <c r="Z286" s="15"/>
    </row>
    <row r="287" spans="1:26" x14ac:dyDescent="0.25">
      <c r="A287" s="108">
        <f>Données!A287</f>
        <v>5922</v>
      </c>
      <c r="B287" s="116" t="str">
        <f>Données!B287</f>
        <v>Montagny-près-Yverdon</v>
      </c>
      <c r="C287" s="304">
        <f>Ressources!H287</f>
        <v>51128.662927551944</v>
      </c>
      <c r="D287" s="304">
        <f>Ressources!L287</f>
        <v>0</v>
      </c>
      <c r="E287" s="332">
        <f>Ressources!T287</f>
        <v>113238.7356092619</v>
      </c>
      <c r="F287" s="305">
        <f t="shared" si="20"/>
        <v>164367.39853681385</v>
      </c>
      <c r="G287" s="304">
        <f>'Besoins structurels'!I287</f>
        <v>0</v>
      </c>
      <c r="H287" s="304">
        <f>'Besoins structurels'!N287</f>
        <v>0</v>
      </c>
      <c r="I287" s="304">
        <f>'Besoins structurels'!V287</f>
        <v>0</v>
      </c>
      <c r="J287" s="306">
        <f t="shared" si="21"/>
        <v>0</v>
      </c>
      <c r="K287" s="304">
        <f>'Charges des villes'!N287</f>
        <v>359081.56430754444</v>
      </c>
      <c r="L287" s="304">
        <f>'Charges des villes'!U287</f>
        <v>-100236.23060363298</v>
      </c>
      <c r="M287" s="299">
        <f t="shared" si="22"/>
        <v>258845.33370391146</v>
      </c>
      <c r="N287" s="305">
        <f>-VLOOKUP(A287,Paramètres!$B$23:$C$316,2,FALSE)*$N$5</f>
        <v>0</v>
      </c>
      <c r="O287" s="319"/>
      <c r="P287" s="598">
        <f t="shared" si="23"/>
        <v>423212.73224072531</v>
      </c>
      <c r="Q287" s="599"/>
      <c r="R287" s="599"/>
      <c r="S287" s="600"/>
      <c r="T287" s="305">
        <f>PCS!D287</f>
        <v>765613.42426633765</v>
      </c>
      <c r="U287" s="300">
        <f>Police!U287</f>
        <v>114474.22045500924</v>
      </c>
      <c r="V287" s="333">
        <f t="shared" si="24"/>
        <v>1303300.3769620722</v>
      </c>
      <c r="W287" s="177"/>
      <c r="X287" s="177"/>
      <c r="Y287" s="177"/>
      <c r="Z287" s="15"/>
    </row>
    <row r="288" spans="1:26" x14ac:dyDescent="0.25">
      <c r="A288" s="108">
        <f>Données!A288</f>
        <v>5923</v>
      </c>
      <c r="B288" s="116" t="str">
        <f>Données!B288</f>
        <v>Oppens</v>
      </c>
      <c r="C288" s="304">
        <f>Ressources!H288</f>
        <v>-251911.38134906298</v>
      </c>
      <c r="D288" s="304">
        <f>Ressources!L288</f>
        <v>0</v>
      </c>
      <c r="E288" s="332">
        <f>Ressources!T288</f>
        <v>-25903.788160857232</v>
      </c>
      <c r="F288" s="305">
        <f t="shared" si="20"/>
        <v>-277815.16950992023</v>
      </c>
      <c r="G288" s="304">
        <f>'Besoins structurels'!I288</f>
        <v>-22157</v>
      </c>
      <c r="H288" s="304">
        <f>'Besoins structurels'!N288</f>
        <v>0</v>
      </c>
      <c r="I288" s="304">
        <f>'Besoins structurels'!V288</f>
        <v>-5665</v>
      </c>
      <c r="J288" s="306">
        <f t="shared" si="21"/>
        <v>-27822</v>
      </c>
      <c r="K288" s="304">
        <f>'Charges des villes'!N288</f>
        <v>93978.378158615145</v>
      </c>
      <c r="L288" s="304">
        <f>'Charges des villes'!U288</f>
        <v>20332.502927955429</v>
      </c>
      <c r="M288" s="299">
        <f t="shared" si="22"/>
        <v>114310.88108657057</v>
      </c>
      <c r="N288" s="305">
        <f>-VLOOKUP(A288,Paramètres!$B$23:$C$316,2,FALSE)*$N$5</f>
        <v>-10950</v>
      </c>
      <c r="O288" s="319"/>
      <c r="P288" s="598">
        <f t="shared" si="23"/>
        <v>-202276.28842334967</v>
      </c>
      <c r="Q288" s="599"/>
      <c r="R288" s="599"/>
      <c r="S288" s="600"/>
      <c r="T288" s="305">
        <f>PCS!D288</f>
        <v>200375.38838220556</v>
      </c>
      <c r="U288" s="300">
        <f>Police!U288</f>
        <v>29960.049884709453</v>
      </c>
      <c r="V288" s="333">
        <f t="shared" si="24"/>
        <v>28059.149843565345</v>
      </c>
      <c r="W288" s="177"/>
      <c r="X288" s="177"/>
      <c r="Y288" s="177"/>
      <c r="Z288" s="15"/>
    </row>
    <row r="289" spans="1:26" x14ac:dyDescent="0.25">
      <c r="A289" s="108">
        <f>Données!A289</f>
        <v>5924</v>
      </c>
      <c r="B289" s="116" t="str">
        <f>Données!B289</f>
        <v>Orges</v>
      </c>
      <c r="C289" s="304">
        <f>Ressources!H289</f>
        <v>-342095.36873929406</v>
      </c>
      <c r="D289" s="304">
        <f>Ressources!L289</f>
        <v>0</v>
      </c>
      <c r="E289" s="332">
        <f>Ressources!T289</f>
        <v>-3213.1875866497867</v>
      </c>
      <c r="F289" s="305">
        <f t="shared" si="20"/>
        <v>-345308.55632594385</v>
      </c>
      <c r="G289" s="304">
        <f>'Besoins structurels'!I289</f>
        <v>-9939</v>
      </c>
      <c r="H289" s="304">
        <f>'Besoins structurels'!N289</f>
        <v>0</v>
      </c>
      <c r="I289" s="304">
        <f>'Besoins structurels'!V289</f>
        <v>0</v>
      </c>
      <c r="J289" s="306">
        <f t="shared" si="21"/>
        <v>-9939</v>
      </c>
      <c r="K289" s="304">
        <f>'Charges des villes'!N289</f>
        <v>194502.51399991993</v>
      </c>
      <c r="L289" s="304">
        <f>'Charges des villes'!U289</f>
        <v>42081.200089698803</v>
      </c>
      <c r="M289" s="299">
        <f t="shared" si="22"/>
        <v>236583.71408961873</v>
      </c>
      <c r="N289" s="305">
        <f>-VLOOKUP(A289,Paramètres!$B$23:$C$316,2,FALSE)*$N$5</f>
        <v>0</v>
      </c>
      <c r="O289" s="319"/>
      <c r="P289" s="598">
        <f t="shared" si="23"/>
        <v>-118663.84223632512</v>
      </c>
      <c r="Q289" s="599"/>
      <c r="R289" s="599"/>
      <c r="S289" s="600"/>
      <c r="T289" s="305">
        <f>PCS!D289</f>
        <v>414707.27147759957</v>
      </c>
      <c r="U289" s="300">
        <f>Police!U289</f>
        <v>62006.869413130014</v>
      </c>
      <c r="V289" s="333">
        <f t="shared" si="24"/>
        <v>358050.29865440447</v>
      </c>
      <c r="W289" s="177"/>
      <c r="X289" s="177"/>
      <c r="Y289" s="177"/>
      <c r="Z289" s="15"/>
    </row>
    <row r="290" spans="1:26" x14ac:dyDescent="0.25">
      <c r="A290" s="108">
        <f>Données!A290</f>
        <v>5925</v>
      </c>
      <c r="B290" s="116" t="str">
        <f>Données!B290</f>
        <v>Orzens</v>
      </c>
      <c r="C290" s="304">
        <f>Ressources!H290</f>
        <v>-261334.86030326536</v>
      </c>
      <c r="D290" s="304">
        <f>Ressources!L290</f>
        <v>0</v>
      </c>
      <c r="E290" s="332">
        <f>Ressources!T290</f>
        <v>-19436.489516145088</v>
      </c>
      <c r="F290" s="305">
        <f t="shared" si="20"/>
        <v>-280771.34981941048</v>
      </c>
      <c r="G290" s="304">
        <f>'Besoins structurels'!I290</f>
        <v>-27584</v>
      </c>
      <c r="H290" s="304">
        <f>'Besoins structurels'!N290</f>
        <v>0</v>
      </c>
      <c r="I290" s="304">
        <f>'Besoins structurels'!V290</f>
        <v>0</v>
      </c>
      <c r="J290" s="306">
        <f t="shared" si="21"/>
        <v>-27584</v>
      </c>
      <c r="K290" s="304">
        <f>'Charges des villes'!N290</f>
        <v>100991.68996149689</v>
      </c>
      <c r="L290" s="304">
        <f>'Charges des villes'!U290</f>
        <v>21849.853892728224</v>
      </c>
      <c r="M290" s="299">
        <f t="shared" si="22"/>
        <v>122841.54385422511</v>
      </c>
      <c r="N290" s="305">
        <f>-VLOOKUP(A290,Paramètres!$B$23:$C$316,2,FALSE)*$N$5</f>
        <v>0</v>
      </c>
      <c r="O290" s="319"/>
      <c r="P290" s="598">
        <f t="shared" si="23"/>
        <v>-185513.80596518537</v>
      </c>
      <c r="Q290" s="599"/>
      <c r="R290" s="599"/>
      <c r="S290" s="600"/>
      <c r="T290" s="305">
        <f>PCS!D290</f>
        <v>215328.77557490749</v>
      </c>
      <c r="U290" s="300">
        <f>Police!U290</f>
        <v>32195.874502971354</v>
      </c>
      <c r="V290" s="333">
        <f t="shared" si="24"/>
        <v>62010.84411269347</v>
      </c>
      <c r="W290" s="177"/>
      <c r="X290" s="177"/>
      <c r="Y290" s="177"/>
      <c r="Z290" s="15"/>
    </row>
    <row r="291" spans="1:26" x14ac:dyDescent="0.25">
      <c r="A291" s="108">
        <f>Données!A291</f>
        <v>5926</v>
      </c>
      <c r="B291" s="116" t="str">
        <f>Données!B291</f>
        <v>Pomy</v>
      </c>
      <c r="C291" s="304">
        <f>Ressources!H291</f>
        <v>-885690.65405448992</v>
      </c>
      <c r="D291" s="304">
        <f>Ressources!L291</f>
        <v>0</v>
      </c>
      <c r="E291" s="332">
        <f>Ressources!T291</f>
        <v>-102666.42167868128</v>
      </c>
      <c r="F291" s="305">
        <f t="shared" si="20"/>
        <v>-988357.07573317119</v>
      </c>
      <c r="G291" s="304">
        <f>'Besoins structurels'!I291</f>
        <v>0</v>
      </c>
      <c r="H291" s="304">
        <f>'Besoins structurels'!N291</f>
        <v>0</v>
      </c>
      <c r="I291" s="304">
        <f>'Besoins structurels'!V291</f>
        <v>-118807</v>
      </c>
      <c r="J291" s="306">
        <f t="shared" si="21"/>
        <v>-118807</v>
      </c>
      <c r="K291" s="304">
        <f>'Charges des villes'!N291</f>
        <v>422668.92465367209</v>
      </c>
      <c r="L291" s="304">
        <f>'Charges des villes'!U291</f>
        <v>91445.684810307008</v>
      </c>
      <c r="M291" s="299">
        <f t="shared" si="22"/>
        <v>514114.60946397908</v>
      </c>
      <c r="N291" s="305">
        <f>-VLOOKUP(A291,Paramètres!$B$23:$C$316,2,FALSE)*$N$5</f>
        <v>0</v>
      </c>
      <c r="O291" s="319"/>
      <c r="P291" s="598">
        <f t="shared" si="23"/>
        <v>-593049.46626919229</v>
      </c>
      <c r="Q291" s="599"/>
      <c r="R291" s="599"/>
      <c r="S291" s="600"/>
      <c r="T291" s="305">
        <f>PCS!D291</f>
        <v>901190.80148016836</v>
      </c>
      <c r="U291" s="300">
        <f>Police!U291</f>
        <v>28012.592285814124</v>
      </c>
      <c r="V291" s="333">
        <f t="shared" si="24"/>
        <v>336153.92749679019</v>
      </c>
      <c r="W291" s="177"/>
      <c r="X291" s="177"/>
      <c r="Y291" s="177"/>
      <c r="Z291" s="15"/>
    </row>
    <row r="292" spans="1:26" x14ac:dyDescent="0.25">
      <c r="A292" s="108">
        <f>Données!A292</f>
        <v>5928</v>
      </c>
      <c r="B292" s="116" t="str">
        <f>Données!B292</f>
        <v>Rovray</v>
      </c>
      <c r="C292" s="304">
        <f>Ressources!H292</f>
        <v>-265667.62794583093</v>
      </c>
      <c r="D292" s="304">
        <f>Ressources!L292</f>
        <v>0</v>
      </c>
      <c r="E292" s="332">
        <f>Ressources!T292</f>
        <v>-39072.347889799661</v>
      </c>
      <c r="F292" s="305">
        <f t="shared" si="20"/>
        <v>-304739.97583563061</v>
      </c>
      <c r="G292" s="304">
        <f>'Besoins structurels'!I292</f>
        <v>-18549</v>
      </c>
      <c r="H292" s="304">
        <f>'Besoins structurels'!N292</f>
        <v>0</v>
      </c>
      <c r="I292" s="304">
        <f>'Besoins structurels'!V292</f>
        <v>-66648</v>
      </c>
      <c r="J292" s="306">
        <f t="shared" si="21"/>
        <v>-85197</v>
      </c>
      <c r="K292" s="304">
        <f>'Charges des villes'!N292</f>
        <v>92575.7157980388</v>
      </c>
      <c r="L292" s="304">
        <f>'Charges des villes'!U292</f>
        <v>20029.03273500087</v>
      </c>
      <c r="M292" s="299">
        <f t="shared" si="22"/>
        <v>112604.74853303967</v>
      </c>
      <c r="N292" s="305">
        <f>-VLOOKUP(A292,Paramètres!$B$23:$C$316,2,FALSE)*$N$5</f>
        <v>0</v>
      </c>
      <c r="O292" s="319"/>
      <c r="P292" s="598">
        <f t="shared" si="23"/>
        <v>-277332.22730259097</v>
      </c>
      <c r="Q292" s="599"/>
      <c r="R292" s="599"/>
      <c r="S292" s="600"/>
      <c r="T292" s="305">
        <f>PCS!D292</f>
        <v>197384.71094366518</v>
      </c>
      <c r="U292" s="300">
        <f>Police!U292</f>
        <v>29512.884961057076</v>
      </c>
      <c r="V292" s="333">
        <f t="shared" si="24"/>
        <v>-50434.63139786871</v>
      </c>
      <c r="W292" s="177"/>
      <c r="X292" s="177"/>
      <c r="Y292" s="177"/>
      <c r="Z292" s="15"/>
    </row>
    <row r="293" spans="1:26" x14ac:dyDescent="0.25">
      <c r="A293" s="108">
        <f>Données!A293</f>
        <v>5929</v>
      </c>
      <c r="B293" s="116" t="str">
        <f>Données!B293</f>
        <v>Suchy</v>
      </c>
      <c r="C293" s="304">
        <f>Ressources!H293</f>
        <v>-583977.47744501301</v>
      </c>
      <c r="D293" s="304">
        <f>Ressources!L293</f>
        <v>0</v>
      </c>
      <c r="E293" s="332">
        <f>Ressources!T293</f>
        <v>-82296.345716895812</v>
      </c>
      <c r="F293" s="305">
        <f t="shared" si="20"/>
        <v>-666273.82316190877</v>
      </c>
      <c r="G293" s="304">
        <f>'Besoins structurels'!I293</f>
        <v>-17206</v>
      </c>
      <c r="H293" s="304">
        <f>'Besoins structurels'!N293</f>
        <v>0</v>
      </c>
      <c r="I293" s="304">
        <f>'Besoins structurels'!V293</f>
        <v>-109602</v>
      </c>
      <c r="J293" s="306">
        <f t="shared" si="21"/>
        <v>-126808</v>
      </c>
      <c r="K293" s="304">
        <f>'Charges des villes'!N293</f>
        <v>314196.36876910133</v>
      </c>
      <c r="L293" s="304">
        <f>'Charges des villes'!U293</f>
        <v>67977.323221821134</v>
      </c>
      <c r="M293" s="299">
        <f t="shared" si="22"/>
        <v>382173.69199092244</v>
      </c>
      <c r="N293" s="305">
        <f>-VLOOKUP(A293,Paramètres!$B$23:$C$316,2,FALSE)*$N$5</f>
        <v>0</v>
      </c>
      <c r="O293" s="319"/>
      <c r="P293" s="598">
        <f t="shared" si="23"/>
        <v>-410908.13117098634</v>
      </c>
      <c r="Q293" s="599"/>
      <c r="R293" s="599"/>
      <c r="S293" s="600"/>
      <c r="T293" s="305">
        <f>PCS!D293</f>
        <v>669911.74623304547</v>
      </c>
      <c r="U293" s="300">
        <f>Police!U293</f>
        <v>20823.519929277758</v>
      </c>
      <c r="V293" s="333">
        <f t="shared" si="24"/>
        <v>279827.1349913369</v>
      </c>
      <c r="W293" s="177"/>
      <c r="X293" s="177"/>
      <c r="Y293" s="177"/>
      <c r="Z293" s="15"/>
    </row>
    <row r="294" spans="1:26" x14ac:dyDescent="0.25">
      <c r="A294" s="108">
        <f>Données!A294</f>
        <v>5931</v>
      </c>
      <c r="B294" s="116" t="str">
        <f>Données!B294</f>
        <v>Treycovagnes</v>
      </c>
      <c r="C294" s="304">
        <f>Ressources!H294</f>
        <v>-604468.28236631502</v>
      </c>
      <c r="D294" s="304">
        <f>Ressources!L294</f>
        <v>0</v>
      </c>
      <c r="E294" s="332">
        <f>Ressources!T294</f>
        <v>-48399.591802607189</v>
      </c>
      <c r="F294" s="305">
        <f t="shared" si="20"/>
        <v>-652867.87416892219</v>
      </c>
      <c r="G294" s="304">
        <f>'Besoins structurels'!I294</f>
        <v>0</v>
      </c>
      <c r="H294" s="304">
        <f>'Besoins structurels'!N294</f>
        <v>0</v>
      </c>
      <c r="I294" s="304">
        <f>'Besoins structurels'!V294</f>
        <v>0</v>
      </c>
      <c r="J294" s="306">
        <f t="shared" si="21"/>
        <v>0</v>
      </c>
      <c r="K294" s="304">
        <f>'Charges des villes'!N294</f>
        <v>242193.03425951564</v>
      </c>
      <c r="L294" s="304">
        <f>'Charges des villes'!U294</f>
        <v>52399.186650153795</v>
      </c>
      <c r="M294" s="299">
        <f t="shared" si="22"/>
        <v>294592.22090966941</v>
      </c>
      <c r="N294" s="305">
        <f>-VLOOKUP(A294,Paramètres!$B$23:$C$316,2,FALSE)*$N$5</f>
        <v>0</v>
      </c>
      <c r="O294" s="319"/>
      <c r="P294" s="598">
        <f t="shared" si="23"/>
        <v>-358275.65325925278</v>
      </c>
      <c r="Q294" s="599"/>
      <c r="R294" s="599"/>
      <c r="S294" s="600"/>
      <c r="T294" s="305">
        <f>PCS!D294</f>
        <v>516390.30438797257</v>
      </c>
      <c r="U294" s="300">
        <f>Police!U294</f>
        <v>16051.463278818272</v>
      </c>
      <c r="V294" s="333">
        <f t="shared" si="24"/>
        <v>174166.11440753806</v>
      </c>
      <c r="W294" s="177"/>
      <c r="X294" s="177"/>
      <c r="Y294" s="177"/>
      <c r="Z294" s="15"/>
    </row>
    <row r="295" spans="1:26" x14ac:dyDescent="0.25">
      <c r="A295" s="108">
        <f>Données!A295</f>
        <v>5932</v>
      </c>
      <c r="B295" s="116" t="str">
        <f>Données!B295</f>
        <v>Ursins</v>
      </c>
      <c r="C295" s="304">
        <f>Ressources!H295</f>
        <v>-71929.309566795302</v>
      </c>
      <c r="D295" s="304">
        <f>Ressources!L295</f>
        <v>0</v>
      </c>
      <c r="E295" s="332">
        <f>Ressources!T295</f>
        <v>-24050.44051002284</v>
      </c>
      <c r="F295" s="305">
        <f t="shared" si="20"/>
        <v>-95979.750076818134</v>
      </c>
      <c r="G295" s="304">
        <f>'Besoins structurels'!I295</f>
        <v>-18041</v>
      </c>
      <c r="H295" s="304">
        <f>'Besoins structurels'!N295</f>
        <v>0</v>
      </c>
      <c r="I295" s="304">
        <f>'Besoins structurels'!V295</f>
        <v>0</v>
      </c>
      <c r="J295" s="306">
        <f t="shared" si="21"/>
        <v>-18041</v>
      </c>
      <c r="K295" s="304">
        <f>'Charges des villes'!N295</f>
        <v>106134.78528361014</v>
      </c>
      <c r="L295" s="304">
        <f>'Charges des villes'!U295</f>
        <v>22962.577933561606</v>
      </c>
      <c r="M295" s="299">
        <f t="shared" si="22"/>
        <v>129097.36321717175</v>
      </c>
      <c r="N295" s="305">
        <f>-VLOOKUP(A295,Paramètres!$B$23:$C$316,2,FALSE)*$N$5</f>
        <v>0</v>
      </c>
      <c r="O295" s="319"/>
      <c r="P295" s="598">
        <f t="shared" si="23"/>
        <v>15076.613140353613</v>
      </c>
      <c r="Q295" s="599"/>
      <c r="R295" s="599"/>
      <c r="S295" s="600"/>
      <c r="T295" s="305">
        <f>PCS!D295</f>
        <v>226294.59284955554</v>
      </c>
      <c r="U295" s="300">
        <f>Police!U295</f>
        <v>33835.479223030081</v>
      </c>
      <c r="V295" s="333">
        <f t="shared" si="24"/>
        <v>275206.68521293922</v>
      </c>
      <c r="W295" s="177"/>
      <c r="X295" s="177"/>
      <c r="Y295" s="177"/>
      <c r="Z295" s="15"/>
    </row>
    <row r="296" spans="1:26" x14ac:dyDescent="0.25">
      <c r="A296" s="108">
        <f>Données!A296</f>
        <v>5933</v>
      </c>
      <c r="B296" s="116" t="str">
        <f>Données!B296</f>
        <v>Valeyres-sous-Montagny</v>
      </c>
      <c r="C296" s="304">
        <f>Ressources!H296</f>
        <v>-566121.14370927482</v>
      </c>
      <c r="D296" s="304">
        <f>Ressources!L296</f>
        <v>0</v>
      </c>
      <c r="E296" s="332">
        <f>Ressources!T296</f>
        <v>-66740.679782759384</v>
      </c>
      <c r="F296" s="305">
        <f t="shared" si="20"/>
        <v>-632861.82349203422</v>
      </c>
      <c r="G296" s="304">
        <f>'Besoins structurels'!I296</f>
        <v>0</v>
      </c>
      <c r="H296" s="304">
        <f>'Besoins structurels'!N296</f>
        <v>0</v>
      </c>
      <c r="I296" s="304">
        <f>'Besoins structurels'!V296</f>
        <v>0</v>
      </c>
      <c r="J296" s="306">
        <f t="shared" si="21"/>
        <v>0</v>
      </c>
      <c r="K296" s="304">
        <f>'Charges des villes'!N296</f>
        <v>335236.30417774658</v>
      </c>
      <c r="L296" s="304">
        <f>'Charges des villes'!U296</f>
        <v>72529.376116139523</v>
      </c>
      <c r="M296" s="299">
        <f t="shared" si="22"/>
        <v>407765.68029388611</v>
      </c>
      <c r="N296" s="305">
        <f>-VLOOKUP(A296,Paramètres!$B$23:$C$316,2,FALSE)*$N$5</f>
        <v>-77175</v>
      </c>
      <c r="O296" s="319"/>
      <c r="P296" s="598">
        <f t="shared" si="23"/>
        <v>-302271.14319814811</v>
      </c>
      <c r="Q296" s="599"/>
      <c r="R296" s="599"/>
      <c r="S296" s="600"/>
      <c r="T296" s="305">
        <f>PCS!D296</f>
        <v>714771.90781115124</v>
      </c>
      <c r="U296" s="300">
        <f>Police!U296</f>
        <v>106872.4167529188</v>
      </c>
      <c r="V296" s="333">
        <f t="shared" si="24"/>
        <v>519373.18136592192</v>
      </c>
      <c r="W296" s="177"/>
      <c r="X296" s="177"/>
      <c r="Y296" s="177"/>
      <c r="Z296" s="15"/>
    </row>
    <row r="297" spans="1:26" x14ac:dyDescent="0.25">
      <c r="A297" s="108">
        <f>Données!A297</f>
        <v>5934</v>
      </c>
      <c r="B297" s="116" t="str">
        <f>Données!B297</f>
        <v>Valeyres-sous-Ursins</v>
      </c>
      <c r="C297" s="304">
        <f>Ressources!H297</f>
        <v>-241974.68426972377</v>
      </c>
      <c r="D297" s="304">
        <f>Ressources!L297</f>
        <v>0</v>
      </c>
      <c r="E297" s="332">
        <f>Ressources!T297</f>
        <v>-37224.145329317798</v>
      </c>
      <c r="F297" s="305">
        <f t="shared" si="20"/>
        <v>-279198.82959904155</v>
      </c>
      <c r="G297" s="304">
        <f>'Besoins structurels'!I297</f>
        <v>-12534</v>
      </c>
      <c r="H297" s="304">
        <f>'Besoins structurels'!N297</f>
        <v>0</v>
      </c>
      <c r="I297" s="304">
        <f>'Besoins structurels'!V297</f>
        <v>0</v>
      </c>
      <c r="J297" s="306">
        <f t="shared" si="21"/>
        <v>-12534</v>
      </c>
      <c r="K297" s="304">
        <f>'Charges des villes'!N297</f>
        <v>105199.67704322592</v>
      </c>
      <c r="L297" s="304">
        <f>'Charges des villes'!U297</f>
        <v>22760.264471591898</v>
      </c>
      <c r="M297" s="299">
        <f t="shared" si="22"/>
        <v>127959.94151481782</v>
      </c>
      <c r="N297" s="305">
        <f>-VLOOKUP(A297,Paramètres!$B$23:$C$316,2,FALSE)*$N$5</f>
        <v>0</v>
      </c>
      <c r="O297" s="319"/>
      <c r="P297" s="598">
        <f t="shared" si="23"/>
        <v>-163772.88808422373</v>
      </c>
      <c r="Q297" s="599"/>
      <c r="R297" s="599"/>
      <c r="S297" s="600"/>
      <c r="T297" s="305">
        <f>PCS!D297</f>
        <v>224300.80789052864</v>
      </c>
      <c r="U297" s="300">
        <f>Police!U297</f>
        <v>13613.462836436913</v>
      </c>
      <c r="V297" s="333">
        <f t="shared" si="24"/>
        <v>74141.382642741824</v>
      </c>
      <c r="W297" s="177"/>
      <c r="X297" s="177"/>
      <c r="Y297" s="177"/>
      <c r="Z297" s="15"/>
    </row>
    <row r="298" spans="1:26" x14ac:dyDescent="0.25">
      <c r="A298" s="108">
        <f>Données!A298</f>
        <v>5935</v>
      </c>
      <c r="B298" s="116" t="str">
        <f>Données!B298</f>
        <v>Villars-Epeney</v>
      </c>
      <c r="C298" s="304">
        <f>Ressources!H298</f>
        <v>54112.056688795099</v>
      </c>
      <c r="D298" s="304">
        <f>Ressources!L298</f>
        <v>0</v>
      </c>
      <c r="E298" s="332">
        <f>Ressources!T298</f>
        <v>14800.200151574933</v>
      </c>
      <c r="F298" s="305">
        <f t="shared" si="20"/>
        <v>68912.256840370028</v>
      </c>
      <c r="G298" s="304">
        <f>'Besoins structurels'!I298</f>
        <v>-667</v>
      </c>
      <c r="H298" s="304">
        <f>'Besoins structurels'!N298</f>
        <v>0</v>
      </c>
      <c r="I298" s="304">
        <f>'Besoins structurels'!V298</f>
        <v>-447</v>
      </c>
      <c r="J298" s="306">
        <f t="shared" si="21"/>
        <v>-1114</v>
      </c>
      <c r="K298" s="304">
        <f>'Charges des villes'!N298</f>
        <v>50963.399100940551</v>
      </c>
      <c r="L298" s="304">
        <f>'Charges des villes'!U298</f>
        <v>11026.083677348965</v>
      </c>
      <c r="M298" s="299">
        <f t="shared" si="22"/>
        <v>61989.482778289515</v>
      </c>
      <c r="N298" s="305">
        <f>-VLOOKUP(A298,Paramètres!$B$23:$C$316,2,FALSE)*$N$5</f>
        <v>0</v>
      </c>
      <c r="O298" s="319"/>
      <c r="P298" s="598">
        <f t="shared" si="23"/>
        <v>129787.73961865954</v>
      </c>
      <c r="Q298" s="599"/>
      <c r="R298" s="599"/>
      <c r="S298" s="600"/>
      <c r="T298" s="305">
        <f>PCS!D298</f>
        <v>108661.28026696719</v>
      </c>
      <c r="U298" s="300">
        <f>Police!U298</f>
        <v>16246.992226036471</v>
      </c>
      <c r="V298" s="333">
        <f t="shared" si="24"/>
        <v>254696.01211166321</v>
      </c>
      <c r="W298" s="177"/>
      <c r="X298" s="177"/>
      <c r="Y298" s="177"/>
      <c r="Z298" s="15"/>
    </row>
    <row r="299" spans="1:26" x14ac:dyDescent="0.25">
      <c r="A299" s="108">
        <f>Données!A299</f>
        <v>5937</v>
      </c>
      <c r="B299" s="116" t="str">
        <f>Données!B299</f>
        <v>Vugelles-La Mothe</v>
      </c>
      <c r="C299" s="304">
        <f>Ressources!H299</f>
        <v>-202485.1296894472</v>
      </c>
      <c r="D299" s="304">
        <f>Ressources!L299</f>
        <v>-1938</v>
      </c>
      <c r="E299" s="332">
        <f>Ressources!T299</f>
        <v>-27213.547830058342</v>
      </c>
      <c r="F299" s="305">
        <f t="shared" si="20"/>
        <v>-231636.67751950555</v>
      </c>
      <c r="G299" s="304">
        <f>'Besoins structurels'!I299</f>
        <v>-21009</v>
      </c>
      <c r="H299" s="304">
        <f>'Besoins structurels'!N299</f>
        <v>0</v>
      </c>
      <c r="I299" s="304">
        <f>'Besoins structurels'!V299</f>
        <v>0</v>
      </c>
      <c r="J299" s="306">
        <f t="shared" si="21"/>
        <v>-21009</v>
      </c>
      <c r="K299" s="304">
        <f>'Charges des villes'!N299</f>
        <v>66392.685067280341</v>
      </c>
      <c r="L299" s="304">
        <f>'Charges des villes'!U299</f>
        <v>14364.25579984911</v>
      </c>
      <c r="M299" s="299">
        <f t="shared" si="22"/>
        <v>80756.940867129451</v>
      </c>
      <c r="N299" s="305">
        <f>-VLOOKUP(A299,Paramètres!$B$23:$C$316,2,FALSE)*$N$5</f>
        <v>0</v>
      </c>
      <c r="O299" s="319"/>
      <c r="P299" s="598">
        <f t="shared" si="23"/>
        <v>-171888.7366523761</v>
      </c>
      <c r="Q299" s="599"/>
      <c r="R299" s="599"/>
      <c r="S299" s="600"/>
      <c r="T299" s="305">
        <f>PCS!D299</f>
        <v>141558.73209091139</v>
      </c>
      <c r="U299" s="300">
        <f>Police!U299</f>
        <v>21165.806386212647</v>
      </c>
      <c r="V299" s="333">
        <f t="shared" si="24"/>
        <v>-9164.1981752520624</v>
      </c>
      <c r="W299" s="177"/>
      <c r="X299" s="177"/>
      <c r="Y299" s="177"/>
      <c r="Z299" s="15"/>
    </row>
    <row r="300" spans="1:26" x14ac:dyDescent="0.25">
      <c r="A300" s="108">
        <f>Données!A300</f>
        <v>5938</v>
      </c>
      <c r="B300" s="116" t="str">
        <f>Données!B300</f>
        <v>Yverdon-les-Bains</v>
      </c>
      <c r="C300" s="304">
        <f>Ressources!H300</f>
        <v>-40810259.717684142</v>
      </c>
      <c r="D300" s="304">
        <f>Ressources!L300</f>
        <v>0</v>
      </c>
      <c r="E300" s="332">
        <f>Ressources!T300</f>
        <v>-416484.91478722077</v>
      </c>
      <c r="F300" s="305">
        <f t="shared" si="20"/>
        <v>-41226744.63247136</v>
      </c>
      <c r="G300" s="304">
        <f>'Besoins structurels'!I300</f>
        <v>0</v>
      </c>
      <c r="H300" s="304">
        <f>'Besoins structurels'!N300</f>
        <v>0</v>
      </c>
      <c r="I300" s="304">
        <f>'Besoins structurels'!V300</f>
        <v>0</v>
      </c>
      <c r="J300" s="306">
        <f t="shared" si="21"/>
        <v>0</v>
      </c>
      <c r="K300" s="304">
        <f>'Charges des villes'!N300</f>
        <v>-9253511.5779076256</v>
      </c>
      <c r="L300" s="304">
        <f>'Charges des villes'!U300</f>
        <v>-771561.43186350167</v>
      </c>
      <c r="M300" s="299">
        <f t="shared" si="22"/>
        <v>-10025073.009771127</v>
      </c>
      <c r="N300" s="305">
        <f>-VLOOKUP(A300,Paramètres!$B$23:$C$316,2,FALSE)*$N$5</f>
        <v>0</v>
      </c>
      <c r="O300" s="319"/>
      <c r="P300" s="598">
        <f t="shared" si="23"/>
        <v>-51251817.642242491</v>
      </c>
      <c r="Q300" s="599"/>
      <c r="R300" s="599"/>
      <c r="S300" s="600"/>
      <c r="T300" s="305">
        <f>PCS!D300</f>
        <v>30504909.873111892</v>
      </c>
      <c r="U300" s="300">
        <f>Police!U300</f>
        <v>948213.85392246931</v>
      </c>
      <c r="V300" s="333">
        <f t="shared" si="24"/>
        <v>-19798693.915208131</v>
      </c>
      <c r="W300" s="177"/>
      <c r="X300" s="177"/>
      <c r="Y300" s="177"/>
      <c r="Z300" s="15"/>
    </row>
    <row r="301" spans="1:26" x14ac:dyDescent="0.25">
      <c r="A301" s="110">
        <f>Données!A301</f>
        <v>5939</v>
      </c>
      <c r="B301" s="117" t="str">
        <f>Données!B301</f>
        <v>Yvonand</v>
      </c>
      <c r="C301" s="310">
        <f>Ressources!H301</f>
        <v>-4522026.0939819328</v>
      </c>
      <c r="D301" s="310">
        <f>Ressources!L301</f>
        <v>0</v>
      </c>
      <c r="E301" s="334">
        <f>Ressources!T301</f>
        <v>-64847.639486523229</v>
      </c>
      <c r="F301" s="305">
        <f t="shared" si="20"/>
        <v>-4586873.7334684562</v>
      </c>
      <c r="G301" s="310">
        <f>'Besoins structurels'!I301</f>
        <v>0</v>
      </c>
      <c r="H301" s="310">
        <f>'Besoins structurels'!N301</f>
        <v>0</v>
      </c>
      <c r="I301" s="310">
        <f>'Besoins structurels'!V301</f>
        <v>0</v>
      </c>
      <c r="J301" s="314">
        <f t="shared" si="21"/>
        <v>0</v>
      </c>
      <c r="K301" s="310">
        <f>'Charges des villes'!N301</f>
        <v>885558.21370752878</v>
      </c>
      <c r="L301" s="310">
        <f>'Charges des villes'!U301</f>
        <v>357690.20076243981</v>
      </c>
      <c r="M301" s="313">
        <f t="shared" si="22"/>
        <v>1243248.4144699685</v>
      </c>
      <c r="N301" s="305">
        <f>-VLOOKUP(A301,Paramètres!$B$23:$C$316,2,FALSE)*$N$5</f>
        <v>0</v>
      </c>
      <c r="O301" s="319"/>
      <c r="P301" s="598">
        <f t="shared" si="23"/>
        <v>-3343625.3189984877</v>
      </c>
      <c r="Q301" s="599"/>
      <c r="R301" s="599"/>
      <c r="S301" s="600"/>
      <c r="T301" s="312">
        <f>PCS!D301</f>
        <v>3525011.8075595964</v>
      </c>
      <c r="U301" s="300">
        <f>Police!U301</f>
        <v>597404.99372134148</v>
      </c>
      <c r="V301" s="335">
        <f t="shared" si="24"/>
        <v>778791.48228245019</v>
      </c>
      <c r="W301" s="177"/>
      <c r="X301" s="177"/>
      <c r="Y301" s="177"/>
      <c r="Z301" s="15"/>
    </row>
    <row r="302" spans="1:26" x14ac:dyDescent="0.25">
      <c r="A302" s="2"/>
      <c r="C302" s="312">
        <f>SUM(C8:C301)</f>
        <v>1.1511147022247314E-6</v>
      </c>
      <c r="D302" s="312">
        <f>SUM(D8:D301)</f>
        <v>-2657972</v>
      </c>
      <c r="E302" s="314">
        <f>SUM(E8:E301)</f>
        <v>449999.99999998952</v>
      </c>
      <c r="F302" s="318">
        <f>SUM(F8:F301)</f>
        <v>-2207971.9999987241</v>
      </c>
      <c r="G302" s="318">
        <f t="shared" ref="G302:M302" si="25">SUM(G8:G301)</f>
        <v>-8356790</v>
      </c>
      <c r="H302" s="318">
        <f t="shared" si="25"/>
        <v>-15183880</v>
      </c>
      <c r="I302" s="318">
        <f t="shared" si="25"/>
        <v>-5959307</v>
      </c>
      <c r="J302" s="329">
        <f t="shared" si="25"/>
        <v>-29499977</v>
      </c>
      <c r="K302" s="318">
        <f t="shared" si="25"/>
        <v>-4.3050386011600494E-7</v>
      </c>
      <c r="L302" s="318">
        <f t="shared" si="25"/>
        <v>-4.71482053399086E-9</v>
      </c>
      <c r="M302" s="336">
        <f t="shared" si="25"/>
        <v>-4.5448541641235352E-7</v>
      </c>
      <c r="N302" s="318">
        <f>SUM(N8:N301)</f>
        <v>-7584975</v>
      </c>
      <c r="O302" s="319"/>
      <c r="P302" s="632">
        <f>SUM(P8:R301)</f>
        <v>-39292923.999999277</v>
      </c>
      <c r="Q302" s="633"/>
      <c r="R302" s="633"/>
      <c r="S302" s="634"/>
      <c r="T302" s="312">
        <f>SUM(T8:T301)</f>
        <v>861540399.99999988</v>
      </c>
      <c r="U302" s="327">
        <f>SUM(U8:U301)</f>
        <v>76442757.386129797</v>
      </c>
      <c r="V302" s="335">
        <f>SUM(V8:V301)</f>
        <v>898690233.38613057</v>
      </c>
    </row>
    <row r="303" spans="1:26" x14ac:dyDescent="0.25">
      <c r="N303" s="15"/>
      <c r="V303" s="15"/>
    </row>
  </sheetData>
  <sheetProtection sheet="1" objects="1" scenarios="1"/>
  <mergeCells count="309">
    <mergeCell ref="P298:S298"/>
    <mergeCell ref="P299:S299"/>
    <mergeCell ref="P300:S300"/>
    <mergeCell ref="P301:S301"/>
    <mergeCell ref="P302:S302"/>
    <mergeCell ref="P290:S290"/>
    <mergeCell ref="P291:S291"/>
    <mergeCell ref="P292:S292"/>
    <mergeCell ref="P293:S293"/>
    <mergeCell ref="P294:S294"/>
    <mergeCell ref="P295:S295"/>
    <mergeCell ref="P296:S296"/>
    <mergeCell ref="P297:S297"/>
    <mergeCell ref="P284:S284"/>
    <mergeCell ref="P285:S285"/>
    <mergeCell ref="P286:S286"/>
    <mergeCell ref="P287:S287"/>
    <mergeCell ref="P288:S288"/>
    <mergeCell ref="P289:S289"/>
    <mergeCell ref="P275:S275"/>
    <mergeCell ref="P276:S276"/>
    <mergeCell ref="P274:S274"/>
    <mergeCell ref="P281:S281"/>
    <mergeCell ref="P282:S282"/>
    <mergeCell ref="P283:S283"/>
    <mergeCell ref="P279:S279"/>
    <mergeCell ref="P280:S280"/>
    <mergeCell ref="P263:S263"/>
    <mergeCell ref="P264:S264"/>
    <mergeCell ref="P277:S277"/>
    <mergeCell ref="P278:S278"/>
    <mergeCell ref="P269:S269"/>
    <mergeCell ref="P270:S270"/>
    <mergeCell ref="P273:S273"/>
    <mergeCell ref="P271:S271"/>
    <mergeCell ref="P253:S253"/>
    <mergeCell ref="P254:S254"/>
    <mergeCell ref="P255:S255"/>
    <mergeCell ref="P256:S256"/>
    <mergeCell ref="P257:S257"/>
    <mergeCell ref="P258:S258"/>
    <mergeCell ref="P259:S259"/>
    <mergeCell ref="P260:S260"/>
    <mergeCell ref="P261:S261"/>
    <mergeCell ref="P243:S243"/>
    <mergeCell ref="P244:S244"/>
    <mergeCell ref="P245:S245"/>
    <mergeCell ref="P246:S246"/>
    <mergeCell ref="P247:S247"/>
    <mergeCell ref="P242:S242"/>
    <mergeCell ref="P232:S232"/>
    <mergeCell ref="P272:S272"/>
    <mergeCell ref="P262:S262"/>
    <mergeCell ref="P236:S236"/>
    <mergeCell ref="P237:S237"/>
    <mergeCell ref="P238:S238"/>
    <mergeCell ref="P239:S239"/>
    <mergeCell ref="P240:S240"/>
    <mergeCell ref="P241:S241"/>
    <mergeCell ref="P248:S248"/>
    <mergeCell ref="P249:S249"/>
    <mergeCell ref="P250:S250"/>
    <mergeCell ref="P251:S251"/>
    <mergeCell ref="P252:S252"/>
    <mergeCell ref="P265:S265"/>
    <mergeCell ref="P266:S266"/>
    <mergeCell ref="P267:S267"/>
    <mergeCell ref="P268:S268"/>
    <mergeCell ref="P213:S213"/>
    <mergeCell ref="P214:S214"/>
    <mergeCell ref="P215:S215"/>
    <mergeCell ref="P216:S216"/>
    <mergeCell ref="P217:S217"/>
    <mergeCell ref="P218:S218"/>
    <mergeCell ref="P219:S219"/>
    <mergeCell ref="P220:S220"/>
    <mergeCell ref="P221:S221"/>
    <mergeCell ref="P222:S222"/>
    <mergeCell ref="P223:S223"/>
    <mergeCell ref="P224:S224"/>
    <mergeCell ref="P225:S225"/>
    <mergeCell ref="P226:S226"/>
    <mergeCell ref="P227:S227"/>
    <mergeCell ref="P228:S228"/>
    <mergeCell ref="P229:S229"/>
    <mergeCell ref="P230:S230"/>
    <mergeCell ref="P231:S231"/>
    <mergeCell ref="P233:S233"/>
    <mergeCell ref="P234:S234"/>
    <mergeCell ref="P235:S235"/>
    <mergeCell ref="P212:S212"/>
    <mergeCell ref="P193:S193"/>
    <mergeCell ref="P194:S194"/>
    <mergeCell ref="P195:S195"/>
    <mergeCell ref="P196:S196"/>
    <mergeCell ref="P197:S197"/>
    <mergeCell ref="P198:S198"/>
    <mergeCell ref="P199:S199"/>
    <mergeCell ref="P200:S200"/>
    <mergeCell ref="P201:S201"/>
    <mergeCell ref="P202:S202"/>
    <mergeCell ref="P203:S203"/>
    <mergeCell ref="P204:S204"/>
    <mergeCell ref="P205:S205"/>
    <mergeCell ref="P206:S206"/>
    <mergeCell ref="P207:S207"/>
    <mergeCell ref="P208:S208"/>
    <mergeCell ref="P209:S209"/>
    <mergeCell ref="P210:S210"/>
    <mergeCell ref="P211:S211"/>
    <mergeCell ref="P192:S192"/>
    <mergeCell ref="P173:S173"/>
    <mergeCell ref="P174:S174"/>
    <mergeCell ref="P175:S175"/>
    <mergeCell ref="P176:S176"/>
    <mergeCell ref="P177:S177"/>
    <mergeCell ref="P178:S178"/>
    <mergeCell ref="P179:S179"/>
    <mergeCell ref="P180:S180"/>
    <mergeCell ref="P181:S181"/>
    <mergeCell ref="P182:S182"/>
    <mergeCell ref="P183:S183"/>
    <mergeCell ref="P184:S184"/>
    <mergeCell ref="P185:S185"/>
    <mergeCell ref="P186:S186"/>
    <mergeCell ref="P187:S187"/>
    <mergeCell ref="P188:S188"/>
    <mergeCell ref="P189:S189"/>
    <mergeCell ref="P190:S190"/>
    <mergeCell ref="P191:S191"/>
    <mergeCell ref="P172:S172"/>
    <mergeCell ref="P154:S154"/>
    <mergeCell ref="P155:S155"/>
    <mergeCell ref="P156:S156"/>
    <mergeCell ref="P157:S157"/>
    <mergeCell ref="P158:S158"/>
    <mergeCell ref="P159:S159"/>
    <mergeCell ref="P160:S160"/>
    <mergeCell ref="P161:S161"/>
    <mergeCell ref="P162:S162"/>
    <mergeCell ref="P163:S163"/>
    <mergeCell ref="P164:S164"/>
    <mergeCell ref="P165:S165"/>
    <mergeCell ref="P166:S166"/>
    <mergeCell ref="P167:S167"/>
    <mergeCell ref="P168:S168"/>
    <mergeCell ref="P169:S169"/>
    <mergeCell ref="P170:S170"/>
    <mergeCell ref="P171:S171"/>
    <mergeCell ref="P153:S153"/>
    <mergeCell ref="P134:S134"/>
    <mergeCell ref="P135:S135"/>
    <mergeCell ref="P136:S136"/>
    <mergeCell ref="P137:S137"/>
    <mergeCell ref="P138:S138"/>
    <mergeCell ref="P139:S139"/>
    <mergeCell ref="P140:S140"/>
    <mergeCell ref="P141:S141"/>
    <mergeCell ref="P142:S142"/>
    <mergeCell ref="P143:S143"/>
    <mergeCell ref="P144:S144"/>
    <mergeCell ref="P145:S145"/>
    <mergeCell ref="P146:S146"/>
    <mergeCell ref="P147:S147"/>
    <mergeCell ref="P148:S148"/>
    <mergeCell ref="P149:S149"/>
    <mergeCell ref="P150:S150"/>
    <mergeCell ref="P151:S151"/>
    <mergeCell ref="P152:S152"/>
    <mergeCell ref="P133:S133"/>
    <mergeCell ref="P114:S114"/>
    <mergeCell ref="P115:S115"/>
    <mergeCell ref="P116:S116"/>
    <mergeCell ref="P117:S117"/>
    <mergeCell ref="P118:S118"/>
    <mergeCell ref="P119:S119"/>
    <mergeCell ref="P120:S120"/>
    <mergeCell ref="P121:S121"/>
    <mergeCell ref="P122:S122"/>
    <mergeCell ref="P123:S123"/>
    <mergeCell ref="P124:S124"/>
    <mergeCell ref="P125:S125"/>
    <mergeCell ref="P126:S126"/>
    <mergeCell ref="P127:S127"/>
    <mergeCell ref="P128:S128"/>
    <mergeCell ref="P129:S129"/>
    <mergeCell ref="P130:S130"/>
    <mergeCell ref="P131:S131"/>
    <mergeCell ref="P132:S132"/>
    <mergeCell ref="P113:S113"/>
    <mergeCell ref="P94:S94"/>
    <mergeCell ref="P95:S95"/>
    <mergeCell ref="P96:S96"/>
    <mergeCell ref="P97:S97"/>
    <mergeCell ref="P98:S98"/>
    <mergeCell ref="P99:S99"/>
    <mergeCell ref="P100:S100"/>
    <mergeCell ref="P101:S101"/>
    <mergeCell ref="P102:S102"/>
    <mergeCell ref="P103:S103"/>
    <mergeCell ref="P104:S104"/>
    <mergeCell ref="P105:S105"/>
    <mergeCell ref="P106:S106"/>
    <mergeCell ref="P107:S107"/>
    <mergeCell ref="P108:S108"/>
    <mergeCell ref="P109:S109"/>
    <mergeCell ref="P110:S110"/>
    <mergeCell ref="P111:S111"/>
    <mergeCell ref="P112:S112"/>
    <mergeCell ref="P93:S93"/>
    <mergeCell ref="P74:S74"/>
    <mergeCell ref="P75:S75"/>
    <mergeCell ref="P76:S76"/>
    <mergeCell ref="P77:S77"/>
    <mergeCell ref="P78:S78"/>
    <mergeCell ref="P79:S79"/>
    <mergeCell ref="P80:S80"/>
    <mergeCell ref="P81:S81"/>
    <mergeCell ref="P82:S82"/>
    <mergeCell ref="P83:S83"/>
    <mergeCell ref="P84:S84"/>
    <mergeCell ref="P85:S85"/>
    <mergeCell ref="P86:S86"/>
    <mergeCell ref="P87:S87"/>
    <mergeCell ref="P88:S88"/>
    <mergeCell ref="P89:S89"/>
    <mergeCell ref="P90:S90"/>
    <mergeCell ref="P91:S91"/>
    <mergeCell ref="P92:S92"/>
    <mergeCell ref="P73:S73"/>
    <mergeCell ref="P54:S54"/>
    <mergeCell ref="P55:S55"/>
    <mergeCell ref="P56:S56"/>
    <mergeCell ref="P57:S57"/>
    <mergeCell ref="P58:S58"/>
    <mergeCell ref="P59:S59"/>
    <mergeCell ref="P60:S60"/>
    <mergeCell ref="P61:S61"/>
    <mergeCell ref="P62:S62"/>
    <mergeCell ref="P63:S63"/>
    <mergeCell ref="P64:S64"/>
    <mergeCell ref="P65:S65"/>
    <mergeCell ref="P66:S66"/>
    <mergeCell ref="P67:S67"/>
    <mergeCell ref="P68:S68"/>
    <mergeCell ref="P69:S69"/>
    <mergeCell ref="P70:S70"/>
    <mergeCell ref="P71:S71"/>
    <mergeCell ref="P72:S72"/>
    <mergeCell ref="P34:S34"/>
    <mergeCell ref="P53:S53"/>
    <mergeCell ref="P35:S35"/>
    <mergeCell ref="P36:S36"/>
    <mergeCell ref="P37:S37"/>
    <mergeCell ref="P38:S38"/>
    <mergeCell ref="P39:S39"/>
    <mergeCell ref="P40:S40"/>
    <mergeCell ref="P41:S41"/>
    <mergeCell ref="P42:S42"/>
    <mergeCell ref="P43:S43"/>
    <mergeCell ref="P44:S44"/>
    <mergeCell ref="P45:S45"/>
    <mergeCell ref="P46:S46"/>
    <mergeCell ref="P47:S47"/>
    <mergeCell ref="P48:S48"/>
    <mergeCell ref="P49:S49"/>
    <mergeCell ref="P50:S50"/>
    <mergeCell ref="P51:S51"/>
    <mergeCell ref="P52:S52"/>
    <mergeCell ref="P25:S25"/>
    <mergeCell ref="P26:S26"/>
    <mergeCell ref="P27:S27"/>
    <mergeCell ref="P28:S28"/>
    <mergeCell ref="P29:S29"/>
    <mergeCell ref="P30:S30"/>
    <mergeCell ref="P31:S31"/>
    <mergeCell ref="P32:S32"/>
    <mergeCell ref="P33:S33"/>
    <mergeCell ref="P16:S16"/>
    <mergeCell ref="P17:S17"/>
    <mergeCell ref="P18:S18"/>
    <mergeCell ref="P19:S19"/>
    <mergeCell ref="P20:S20"/>
    <mergeCell ref="P21:S21"/>
    <mergeCell ref="P22:S22"/>
    <mergeCell ref="P23:S23"/>
    <mergeCell ref="P24:S24"/>
    <mergeCell ref="T5:U6"/>
    <mergeCell ref="P5:P6"/>
    <mergeCell ref="Q5:Q6"/>
    <mergeCell ref="R5:R6"/>
    <mergeCell ref="S5:S6"/>
    <mergeCell ref="P7:S7"/>
    <mergeCell ref="P8:S8"/>
    <mergeCell ref="P9:S9"/>
    <mergeCell ref="P10:S10"/>
    <mergeCell ref="P11:S11"/>
    <mergeCell ref="P12:S12"/>
    <mergeCell ref="P13:S13"/>
    <mergeCell ref="P14:S14"/>
    <mergeCell ref="P15:S15"/>
    <mergeCell ref="C5:F6"/>
    <mergeCell ref="G5:J6"/>
    <mergeCell ref="K5:M6"/>
    <mergeCell ref="A3:B3"/>
    <mergeCell ref="A4:B4"/>
    <mergeCell ref="A5:A7"/>
    <mergeCell ref="B5:B7"/>
    <mergeCell ref="N6:N7"/>
  </mergeCells>
  <conditionalFormatting sqref="V6">
    <cfRule type="cellIs" dxfId="37" priority="7" operator="equal">
      <formula>"ERREUR"</formula>
    </cfRule>
    <cfRule type="cellIs" dxfId="36" priority="8" operator="equal">
      <formula>"OK"</formula>
    </cfRule>
  </conditionalFormatting>
  <hyperlinks>
    <hyperlink ref="C1" location="Police!A1" display="← Précédent" xr:uid="{1836622A-A0F2-4DFA-8A05-152CB901E5E2}"/>
    <hyperlink ref="D1" location="'Table des matières'!A1" display="Table des matières" xr:uid="{CD2790B8-833F-4D6C-A1E2-ACB587BD44DD}"/>
    <hyperlink ref="E1" location="'Synthèse par commune'!A1" display="Suivant →" xr:uid="{B33DE12A-280C-455F-BE8C-8141615CEADC}"/>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81CE4-C647-443E-B824-4D7014C43E34}">
  <sheetPr>
    <tabColor rgb="FFCCCCFF"/>
    <pageSetUpPr fitToPage="1"/>
  </sheetPr>
  <dimension ref="B1:M34"/>
  <sheetViews>
    <sheetView zoomScale="80" zoomScaleNormal="80" workbookViewId="0"/>
  </sheetViews>
  <sheetFormatPr baseColWidth="10" defaultRowHeight="15" outlineLevelRow="1" x14ac:dyDescent="0.25"/>
  <cols>
    <col min="1" max="1" width="5.7109375" style="4" customWidth="1"/>
    <col min="2" max="2" width="18.5703125" style="4" customWidth="1"/>
    <col min="3" max="3" width="20" style="4" customWidth="1"/>
    <col min="4" max="4" width="22.85546875" style="4" customWidth="1"/>
    <col min="5" max="5" width="18.5703125" style="4" customWidth="1"/>
    <col min="6" max="6" width="5.7109375" style="4" customWidth="1"/>
    <col min="7" max="8" width="18.5703125" style="4" hidden="1" customWidth="1"/>
    <col min="9" max="9" width="5.7109375" style="4" hidden="1" customWidth="1"/>
    <col min="10" max="12" width="12.85546875" style="4" customWidth="1"/>
    <col min="13" max="16384" width="11.42578125" style="4"/>
  </cols>
  <sheetData>
    <row r="1" spans="2:13" ht="30" customHeight="1" thickTop="1" thickBot="1" x14ac:dyDescent="0.3">
      <c r="B1" s="655" t="str">
        <f>Synthèse!A2</f>
        <v>Décompte prévisionnel 2027</v>
      </c>
      <c r="C1" s="656"/>
      <c r="D1" s="656"/>
      <c r="E1" s="657"/>
      <c r="F1" s="176"/>
      <c r="G1" s="646"/>
      <c r="H1" s="646"/>
      <c r="J1" s="96" t="s">
        <v>441</v>
      </c>
      <c r="K1" s="416" t="s">
        <v>442</v>
      </c>
      <c r="L1" s="96" t="s">
        <v>443</v>
      </c>
      <c r="M1" s="97"/>
    </row>
    <row r="2" spans="2:13" ht="15" customHeight="1" thickTop="1" x14ac:dyDescent="0.2">
      <c r="B2" s="165"/>
      <c r="C2" s="166"/>
      <c r="D2" s="166"/>
      <c r="E2" s="167" t="s">
        <v>485</v>
      </c>
      <c r="F2" s="167"/>
    </row>
    <row r="3" spans="2:13" ht="22.5" customHeight="1" x14ac:dyDescent="0.25">
      <c r="B3" s="168" t="s">
        <v>393</v>
      </c>
      <c r="C3" s="636"/>
      <c r="D3" s="637"/>
      <c r="E3" s="169" t="e">
        <f>VLOOKUP(C3,Paramètres!A23:B316,2,FALSE)</f>
        <v>#N/A</v>
      </c>
      <c r="F3" s="175"/>
      <c r="G3" s="653" t="s">
        <v>594</v>
      </c>
      <c r="H3" s="653" t="s">
        <v>562</v>
      </c>
      <c r="I3" s="411"/>
    </row>
    <row r="4" spans="2:13" ht="15" customHeight="1" x14ac:dyDescent="0.25">
      <c r="B4" s="165"/>
      <c r="C4" s="165"/>
      <c r="D4" s="165"/>
      <c r="E4" s="373" t="s">
        <v>490</v>
      </c>
      <c r="F4" s="373"/>
      <c r="G4" s="654"/>
      <c r="H4" s="654"/>
      <c r="I4" s="411"/>
    </row>
    <row r="5" spans="2:13" ht="22.5" customHeight="1" x14ac:dyDescent="0.25">
      <c r="B5" s="658" t="s">
        <v>448</v>
      </c>
      <c r="C5" s="658"/>
      <c r="D5" s="658"/>
      <c r="E5" s="202" t="e">
        <f>VLOOKUP(C3,Synthèse!B8:F301,5,FALSE)</f>
        <v>#N/A</v>
      </c>
      <c r="F5" s="171"/>
      <c r="G5" s="381" t="e">
        <f>VLOOKUP(C3,Prévisionnel!B8:V307,5,FALSE)</f>
        <v>#N/A</v>
      </c>
      <c r="H5" s="381" t="e">
        <f>E5-G5</f>
        <v>#N/A</v>
      </c>
      <c r="I5" s="412"/>
    </row>
    <row r="6" spans="2:13" ht="22.5" customHeight="1" outlineLevel="1" x14ac:dyDescent="0.2">
      <c r="B6" s="639" t="s">
        <v>430</v>
      </c>
      <c r="C6" s="640"/>
      <c r="D6" s="641"/>
      <c r="E6" s="170" t="e">
        <f>VLOOKUP(C3,Synthèse!B8:C301,2,FALSE)</f>
        <v>#N/A</v>
      </c>
      <c r="F6" s="174"/>
      <c r="G6" s="380" t="e">
        <f>VLOOKUP(C3,Prévisionnel!B8:V307,2,FALSE)</f>
        <v>#N/A</v>
      </c>
      <c r="H6" s="380" t="e">
        <f>E6-G6</f>
        <v>#N/A</v>
      </c>
      <c r="I6" s="413"/>
    </row>
    <row r="7" spans="2:13" ht="22.5" customHeight="1" outlineLevel="1" x14ac:dyDescent="0.2">
      <c r="B7" s="642" t="s">
        <v>11</v>
      </c>
      <c r="C7" s="642"/>
      <c r="D7" s="642"/>
      <c r="E7" s="170" t="e">
        <f>VLOOKUP(C3,Synthèse!B8:D301,3,FALSE)</f>
        <v>#N/A</v>
      </c>
      <c r="F7" s="174"/>
      <c r="G7" s="380" t="e">
        <f>VLOOKUP(C3,Prévisionnel!B8:V307,3,FALSE)</f>
        <v>#N/A</v>
      </c>
      <c r="H7" s="380" t="e">
        <f>E7-G7</f>
        <v>#N/A</v>
      </c>
      <c r="I7" s="413"/>
    </row>
    <row r="8" spans="2:13" ht="22.5" customHeight="1" outlineLevel="1" x14ac:dyDescent="0.2">
      <c r="B8" s="642" t="s">
        <v>20</v>
      </c>
      <c r="C8" s="642"/>
      <c r="D8" s="642"/>
      <c r="E8" s="170" t="e">
        <f>VLOOKUP(C3,Synthèse!B8:E301,4,FALSE)</f>
        <v>#N/A</v>
      </c>
      <c r="F8" s="174"/>
      <c r="G8" s="380" t="e">
        <f>VLOOKUP(C3,Prévisionnel!B8:V307,4,FALSE)</f>
        <v>#N/A</v>
      </c>
      <c r="H8" s="380" t="e">
        <f>E8-G8</f>
        <v>#N/A</v>
      </c>
      <c r="I8" s="413"/>
    </row>
    <row r="9" spans="2:13" ht="11.25" customHeight="1" x14ac:dyDescent="0.25">
      <c r="B9" s="180"/>
      <c r="C9" s="180"/>
      <c r="D9" s="180"/>
      <c r="E9" s="173"/>
      <c r="F9" s="171"/>
      <c r="G9" s="374"/>
      <c r="H9" s="374"/>
      <c r="I9" s="374"/>
    </row>
    <row r="10" spans="2:13" ht="22.5" customHeight="1" x14ac:dyDescent="0.25">
      <c r="B10" s="659" t="s">
        <v>449</v>
      </c>
      <c r="C10" s="659"/>
      <c r="D10" s="659"/>
      <c r="E10" s="203" t="e">
        <f>VLOOKUP(C3,Synthèse!B8:J301,9,FALSE)</f>
        <v>#N/A</v>
      </c>
      <c r="F10" s="171"/>
      <c r="G10" s="382" t="e">
        <f>VLOOKUP(C3,Prévisionnel!B8:V307,9,FALSE)</f>
        <v>#N/A</v>
      </c>
      <c r="H10" s="382" t="e">
        <f>E10-G10</f>
        <v>#N/A</v>
      </c>
      <c r="I10" s="412"/>
    </row>
    <row r="11" spans="2:13" ht="22.5" customHeight="1" outlineLevel="1" x14ac:dyDescent="0.25">
      <c r="B11" s="643" t="s">
        <v>498</v>
      </c>
      <c r="C11" s="643"/>
      <c r="D11" s="643"/>
      <c r="E11" s="170" t="e">
        <f>VLOOKUP(C3,Synthèse!B8:G301,6,FALSE)</f>
        <v>#N/A</v>
      </c>
      <c r="F11" s="171"/>
      <c r="G11" s="380" t="e">
        <f>VLOOKUP(C3,Prévisionnel!B8:V307,6,FALSE)</f>
        <v>#N/A</v>
      </c>
      <c r="H11" s="380" t="e">
        <f>E11-G11</f>
        <v>#N/A</v>
      </c>
      <c r="I11" s="413"/>
    </row>
    <row r="12" spans="2:13" ht="22.5" customHeight="1" outlineLevel="1" x14ac:dyDescent="0.25">
      <c r="B12" s="643" t="s">
        <v>499</v>
      </c>
      <c r="C12" s="643"/>
      <c r="D12" s="643"/>
      <c r="E12" s="170" t="e">
        <f>VLOOKUP(C3,Synthèse!B8:H301,7,FALSE)</f>
        <v>#N/A</v>
      </c>
      <c r="F12" s="171"/>
      <c r="G12" s="380" t="e">
        <f>VLOOKUP(C3,Prévisionnel!B8:V307,7,FALSE)</f>
        <v>#N/A</v>
      </c>
      <c r="H12" s="380" t="e">
        <f>E12-G12</f>
        <v>#N/A</v>
      </c>
      <c r="I12" s="413"/>
    </row>
    <row r="13" spans="2:13" ht="22.5" customHeight="1" outlineLevel="1" x14ac:dyDescent="0.25">
      <c r="B13" s="643" t="s">
        <v>500</v>
      </c>
      <c r="C13" s="643"/>
      <c r="D13" s="643"/>
      <c r="E13" s="170" t="e">
        <f>VLOOKUP(C3,Synthèse!B8:I301,8,FALSE)</f>
        <v>#N/A</v>
      </c>
      <c r="F13" s="171"/>
      <c r="G13" s="380" t="e">
        <f>VLOOKUP(C3,Prévisionnel!B8:V307,8,FALSE)</f>
        <v>#N/A</v>
      </c>
      <c r="H13" s="380" t="e">
        <f>E13-G13</f>
        <v>#N/A</v>
      </c>
      <c r="I13" s="413"/>
    </row>
    <row r="14" spans="2:13" ht="11.25" customHeight="1" x14ac:dyDescent="0.25">
      <c r="B14" s="180"/>
      <c r="C14" s="180"/>
      <c r="D14" s="180"/>
      <c r="E14" s="173"/>
      <c r="F14" s="171"/>
      <c r="G14" s="374"/>
      <c r="H14" s="374"/>
      <c r="I14" s="374"/>
    </row>
    <row r="15" spans="2:13" ht="22.5" customHeight="1" x14ac:dyDescent="0.25">
      <c r="B15" s="652" t="s">
        <v>502</v>
      </c>
      <c r="C15" s="652"/>
      <c r="D15" s="652"/>
      <c r="E15" s="204" t="e">
        <f>VLOOKUP(C3,Synthèse!B8:M301,12,FALSE)</f>
        <v>#N/A</v>
      </c>
      <c r="F15" s="171"/>
      <c r="G15" s="381" t="e">
        <f>VLOOKUP(C3,Prévisionnel!B8:V307,12,FALSE)</f>
        <v>#N/A</v>
      </c>
      <c r="H15" s="381" t="e">
        <f>E15-G15</f>
        <v>#N/A</v>
      </c>
      <c r="I15" s="412"/>
    </row>
    <row r="16" spans="2:13" ht="22.5" customHeight="1" outlineLevel="1" x14ac:dyDescent="0.25">
      <c r="B16" s="647" t="s">
        <v>420</v>
      </c>
      <c r="C16" s="647"/>
      <c r="D16" s="647"/>
      <c r="E16" s="170" t="e">
        <f>VLOOKUP(C3,Synthèse!B8:K301,10,FALSE)</f>
        <v>#N/A</v>
      </c>
      <c r="F16" s="171"/>
      <c r="G16" s="380" t="e">
        <f>VLOOKUP(C3,Prévisionnel!B8:V307,10,FALSE)</f>
        <v>#N/A</v>
      </c>
      <c r="H16" s="380" t="e">
        <f>E16-G16</f>
        <v>#N/A</v>
      </c>
      <c r="I16" s="413"/>
    </row>
    <row r="17" spans="2:9" ht="22.5" customHeight="1" outlineLevel="1" x14ac:dyDescent="0.25">
      <c r="B17" s="647" t="s">
        <v>501</v>
      </c>
      <c r="C17" s="647"/>
      <c r="D17" s="647"/>
      <c r="E17" s="170" t="e">
        <f>VLOOKUP(C3,Synthèse!B8:L301,11,FALSE)</f>
        <v>#N/A</v>
      </c>
      <c r="F17" s="171"/>
      <c r="G17" s="380" t="e">
        <f>VLOOKUP(C3,Prévisionnel!B8:V307,11,FALSE)</f>
        <v>#N/A</v>
      </c>
      <c r="H17" s="380" t="e">
        <f>E17-G17</f>
        <v>#N/A</v>
      </c>
      <c r="I17" s="413"/>
    </row>
    <row r="18" spans="2:9" ht="11.25" customHeight="1" x14ac:dyDescent="0.25">
      <c r="B18" s="180"/>
      <c r="C18" s="180"/>
      <c r="D18" s="180"/>
      <c r="E18" s="173"/>
      <c r="F18" s="171"/>
      <c r="G18" s="374"/>
      <c r="H18" s="374"/>
      <c r="I18" s="374"/>
    </row>
    <row r="19" spans="2:9" ht="22.5" customHeight="1" x14ac:dyDescent="0.25">
      <c r="B19" s="651" t="s">
        <v>489</v>
      </c>
      <c r="C19" s="651"/>
      <c r="D19" s="651"/>
      <c r="E19" s="206" t="e">
        <f>VLOOKUP(C3,Synthèse!B8:N301,13,FALSE)</f>
        <v>#N/A</v>
      </c>
      <c r="F19" s="171"/>
      <c r="G19" s="381" t="e">
        <f>VLOOKUP(C3,Prévisionnel!B8:V307,13,FALSE)</f>
        <v>#N/A</v>
      </c>
      <c r="H19" s="381" t="e">
        <f>E19-G19</f>
        <v>#N/A</v>
      </c>
      <c r="I19" s="412"/>
    </row>
    <row r="20" spans="2:9" ht="27" customHeight="1" thickBot="1" x14ac:dyDescent="0.3">
      <c r="B20" s="180"/>
      <c r="C20" s="181"/>
      <c r="D20" s="181"/>
      <c r="E20" s="182"/>
      <c r="F20" s="171"/>
      <c r="G20" s="375"/>
      <c r="H20" s="375"/>
      <c r="I20" s="375"/>
    </row>
    <row r="21" spans="2:9" ht="27" customHeight="1" thickTop="1" x14ac:dyDescent="0.25">
      <c r="B21" s="338"/>
      <c r="C21" s="339"/>
      <c r="D21" s="339"/>
      <c r="E21" s="339"/>
      <c r="F21" s="171"/>
      <c r="G21" s="376"/>
      <c r="H21" s="376"/>
      <c r="I21" s="376"/>
    </row>
    <row r="22" spans="2:9" ht="22.5" customHeight="1" x14ac:dyDescent="0.25">
      <c r="B22" s="649" t="s">
        <v>503</v>
      </c>
      <c r="C22" s="650"/>
      <c r="D22" s="650"/>
      <c r="E22" s="207" t="e">
        <f>ROUND(VLOOKUP(C3,Synthèse!B8:S301,15,FALSE),0)</f>
        <v>#N/A</v>
      </c>
      <c r="F22" s="172"/>
      <c r="G22" s="383" t="e">
        <f>VLOOKUP(C3,Prévisionnel!B8:V307,15,FALSE)</f>
        <v>#N/A</v>
      </c>
      <c r="H22" s="383" t="e">
        <f>E22-G22</f>
        <v>#N/A</v>
      </c>
      <c r="I22" s="412"/>
    </row>
    <row r="23" spans="2:9" ht="11.25" customHeight="1" x14ac:dyDescent="0.25">
      <c r="B23" s="364"/>
      <c r="C23" s="364"/>
      <c r="D23" s="364"/>
      <c r="E23" s="364"/>
      <c r="F23" s="172"/>
      <c r="G23" s="377"/>
      <c r="H23" s="377"/>
      <c r="I23" s="377"/>
    </row>
    <row r="24" spans="2:9" ht="22.5" customHeight="1" x14ac:dyDescent="0.25">
      <c r="B24" s="638" t="s">
        <v>398</v>
      </c>
      <c r="C24" s="638"/>
      <c r="D24" s="638"/>
      <c r="E24" s="218" t="e">
        <f>ROUND(VLOOKUP(C3,Synthèse!B8:T301,19,FALSE),0)</f>
        <v>#N/A</v>
      </c>
      <c r="F24" s="172"/>
      <c r="G24" s="381" t="e">
        <f>VLOOKUP(C3,Prévisionnel!B8:V307,19,FALSE)</f>
        <v>#N/A</v>
      </c>
      <c r="H24" s="381" t="e">
        <f>E24-G24</f>
        <v>#N/A</v>
      </c>
      <c r="I24" s="412"/>
    </row>
    <row r="25" spans="2:9" ht="11.25" customHeight="1" x14ac:dyDescent="0.25">
      <c r="B25" s="180"/>
      <c r="C25" s="180"/>
      <c r="D25" s="180"/>
      <c r="E25" s="173"/>
      <c r="F25" s="172"/>
      <c r="G25" s="374"/>
      <c r="H25" s="374"/>
      <c r="I25" s="374"/>
    </row>
    <row r="26" spans="2:9" ht="22.5" customHeight="1" x14ac:dyDescent="0.25">
      <c r="B26" s="638" t="s">
        <v>33</v>
      </c>
      <c r="C26" s="638"/>
      <c r="D26" s="638"/>
      <c r="E26" s="218" t="e">
        <f>ROUND(VLOOKUP(C3,Synthèse!B8:U301,20,FALSE),0)</f>
        <v>#N/A</v>
      </c>
      <c r="F26" s="172"/>
      <c r="G26" s="381" t="e">
        <f>VLOOKUP(C3,Prévisionnel!B8:V307,20,FALSE)</f>
        <v>#N/A</v>
      </c>
      <c r="H26" s="381" t="e">
        <f>E26-G26</f>
        <v>#N/A</v>
      </c>
      <c r="I26" s="412"/>
    </row>
    <row r="27" spans="2:9" ht="22.5" customHeight="1" x14ac:dyDescent="0.25">
      <c r="B27" s="648" t="s">
        <v>62</v>
      </c>
      <c r="C27" s="648"/>
      <c r="D27" s="648"/>
      <c r="E27" s="170" t="e">
        <f>VLOOKUP(C3,Police!B8:Q301,16,FALSE)</f>
        <v>#N/A</v>
      </c>
      <c r="F27" s="172"/>
      <c r="G27" s="380" t="e">
        <f>VLOOKUP(C3,Prévisionnel!B8:W307,22,FALSE)</f>
        <v>#N/A</v>
      </c>
      <c r="H27" s="380" t="e">
        <f>E27-G27</f>
        <v>#N/A</v>
      </c>
      <c r="I27" s="413"/>
    </row>
    <row r="28" spans="2:9" ht="22.5" customHeight="1" x14ac:dyDescent="0.25">
      <c r="B28" s="648" t="s">
        <v>532</v>
      </c>
      <c r="C28" s="648"/>
      <c r="D28" s="648"/>
      <c r="E28" s="170" t="e">
        <f>VLOOKUP(C3,Police!B8:T301,17,0)+VLOOKUP(C3,Police!B8:T301,18,0)+VLOOKUP(C3,Police!B8:T301,19,0)</f>
        <v>#N/A</v>
      </c>
      <c r="F28" s="172"/>
      <c r="G28" s="380" t="e">
        <f>G26-G27</f>
        <v>#N/A</v>
      </c>
      <c r="H28" s="380" t="e">
        <f>E28-G28</f>
        <v>#N/A</v>
      </c>
      <c r="I28" s="413"/>
    </row>
    <row r="29" spans="2:9" ht="11.25" customHeight="1" x14ac:dyDescent="0.25">
      <c r="B29" s="180"/>
      <c r="C29" s="180"/>
      <c r="D29" s="180"/>
      <c r="E29" s="173"/>
      <c r="F29" s="172"/>
      <c r="G29" s="374"/>
      <c r="H29" s="374"/>
      <c r="I29" s="374"/>
    </row>
    <row r="30" spans="2:9" ht="22.5" customHeight="1" x14ac:dyDescent="0.25">
      <c r="B30" s="635" t="s">
        <v>484</v>
      </c>
      <c r="C30" s="635"/>
      <c r="D30" s="635"/>
      <c r="E30" s="205" t="e">
        <f>E22+E24+E26</f>
        <v>#N/A</v>
      </c>
      <c r="F30" s="173"/>
      <c r="G30" s="383" t="e">
        <f>VLOOKUP(C3,Prévisionnel!B8:V307,21,FALSE)</f>
        <v>#N/A</v>
      </c>
      <c r="H30" s="383" t="e">
        <f>E30-G30</f>
        <v>#N/A</v>
      </c>
      <c r="I30" s="412"/>
    </row>
    <row r="31" spans="2:9" ht="6.75" customHeight="1" x14ac:dyDescent="0.25">
      <c r="G31" s="378"/>
      <c r="H31" s="378"/>
      <c r="I31" s="379"/>
    </row>
    <row r="32" spans="2:9" x14ac:dyDescent="0.25">
      <c r="E32" s="644" t="s">
        <v>595</v>
      </c>
      <c r="F32" s="164"/>
      <c r="G32" s="645" t="s">
        <v>591</v>
      </c>
      <c r="H32" s="645"/>
      <c r="I32" s="379"/>
    </row>
    <row r="33" spans="5:9" x14ac:dyDescent="0.25">
      <c r="E33" s="645"/>
      <c r="F33" s="164"/>
      <c r="G33" s="645"/>
      <c r="H33" s="645"/>
      <c r="I33" s="379"/>
    </row>
    <row r="34" spans="5:9" x14ac:dyDescent="0.25">
      <c r="G34" s="164"/>
      <c r="H34" s="164"/>
      <c r="I34" s="379"/>
    </row>
  </sheetData>
  <sheetProtection sheet="1" objects="1" scenarios="1"/>
  <mergeCells count="25">
    <mergeCell ref="E32:E33"/>
    <mergeCell ref="G1:H1"/>
    <mergeCell ref="B13:D13"/>
    <mergeCell ref="B16:D16"/>
    <mergeCell ref="B27:D27"/>
    <mergeCell ref="B28:D28"/>
    <mergeCell ref="B22:D22"/>
    <mergeCell ref="B19:D19"/>
    <mergeCell ref="B15:D15"/>
    <mergeCell ref="G32:H33"/>
    <mergeCell ref="B17:D17"/>
    <mergeCell ref="G3:G4"/>
    <mergeCell ref="H3:H4"/>
    <mergeCell ref="B1:E1"/>
    <mergeCell ref="B5:D5"/>
    <mergeCell ref="B10:D10"/>
    <mergeCell ref="B30:D30"/>
    <mergeCell ref="C3:D3"/>
    <mergeCell ref="B24:D24"/>
    <mergeCell ref="B26:D26"/>
    <mergeCell ref="B6:D6"/>
    <mergeCell ref="B7:D7"/>
    <mergeCell ref="B8:D8"/>
    <mergeCell ref="B11:D11"/>
    <mergeCell ref="B12:D12"/>
  </mergeCells>
  <hyperlinks>
    <hyperlink ref="K1" location="'Table des matières'!A1" display="'Table des matières'!A1" xr:uid="{E8CE9F77-D36D-4D73-B821-5BEF671C0887}"/>
    <hyperlink ref="J1" location="Synthèse!A1" display="← Précédent" xr:uid="{AA433E01-71D9-4D5E-949A-05F5B3368E2B}"/>
    <hyperlink ref="L1" location="'Détail par commune'!A1" display="Suivant →" xr:uid="{5575354D-A632-459D-B00A-A91061B2C826}"/>
  </hyperlinks>
  <printOptions horizontalCentered="1"/>
  <pageMargins left="0.70866141732283472" right="0.70866141732283472" top="0.74803149606299213" bottom="0.74803149606299213" header="0.31496062992125984" footer="0.31496062992125984"/>
  <pageSetup paperSize="9" scale="78"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0CFAFB2-2723-4A1E-8B00-F430760B3380}">
          <x14:formula1>
            <xm:f>Paramètres!$A$23:$A$316</xm:f>
          </x14:formula1>
          <xm:sqref>C3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9A692-76C5-445F-A68B-E4D89C95C1CB}">
  <sheetPr codeName="Feuil1">
    <tabColor rgb="FFCCCCFF"/>
    <pageSetUpPr fitToPage="1"/>
  </sheetPr>
  <dimension ref="B1:Y256"/>
  <sheetViews>
    <sheetView zoomScale="90" zoomScaleNormal="90" workbookViewId="0"/>
  </sheetViews>
  <sheetFormatPr baseColWidth="10" defaultRowHeight="15" x14ac:dyDescent="0.25"/>
  <cols>
    <col min="1" max="1" width="5.7109375" style="4" customWidth="1"/>
    <col min="2" max="4" width="12.28515625" style="4" customWidth="1"/>
    <col min="5" max="5" width="10.140625" style="4" customWidth="1"/>
    <col min="6" max="6" width="16.140625" style="4" customWidth="1"/>
    <col min="7" max="7" width="14.28515625" style="4" customWidth="1"/>
    <col min="8" max="8" width="7.140625" style="4" customWidth="1"/>
    <col min="9" max="14" width="15.28515625" style="4" customWidth="1"/>
    <col min="15" max="15" width="7.140625" style="4" customWidth="1"/>
    <col min="16" max="18" width="11.42578125" style="4"/>
    <col min="19" max="19" width="10" style="4" customWidth="1"/>
    <col min="20" max="20" width="15.42578125" style="4" customWidth="1"/>
    <col min="21" max="21" width="14.28515625" style="4" customWidth="1"/>
    <col min="22" max="22" width="11.42578125" style="4"/>
    <col min="23" max="23" width="11.42578125" style="54"/>
    <col min="24" max="16384" width="11.42578125" style="4"/>
  </cols>
  <sheetData>
    <row r="1" spans="2:25" ht="22.5" customHeight="1" x14ac:dyDescent="0.25">
      <c r="V1" s="702" t="s">
        <v>441</v>
      </c>
      <c r="W1" s="701" t="s">
        <v>442</v>
      </c>
      <c r="X1" s="702" t="s">
        <v>443</v>
      </c>
    </row>
    <row r="2" spans="2:25" ht="22.5" customHeight="1" x14ac:dyDescent="0.25">
      <c r="B2" s="662" t="s">
        <v>393</v>
      </c>
      <c r="C2" s="662"/>
      <c r="D2" s="663"/>
      <c r="E2" s="664"/>
      <c r="F2" s="664"/>
      <c r="G2" s="665"/>
      <c r="J2" s="54"/>
      <c r="T2" s="697" t="str">
        <f>_xlfn.CONCAT(Paramètres!M5," ",Paramètres!N5)</f>
        <v>Décompte prévisionnel 2027</v>
      </c>
      <c r="U2" s="698"/>
      <c r="V2" s="702"/>
      <c r="W2" s="701"/>
      <c r="X2" s="702"/>
    </row>
    <row r="3" spans="2:25" ht="22.5" customHeight="1" x14ac:dyDescent="0.25">
      <c r="B3" s="13"/>
      <c r="C3" s="13"/>
      <c r="D3" s="6"/>
      <c r="E3" s="6"/>
      <c r="F3" s="6"/>
      <c r="G3" s="6"/>
      <c r="J3" s="54"/>
      <c r="T3" s="699"/>
      <c r="U3" s="700"/>
      <c r="W3" s="342"/>
      <c r="X3" s="342"/>
      <c r="Y3" s="420"/>
    </row>
    <row r="4" spans="2:25" ht="22.5" customHeight="1" x14ac:dyDescent="0.25">
      <c r="B4" s="6" t="s">
        <v>470</v>
      </c>
      <c r="C4" s="101" t="str">
        <f>IFERROR(VLOOKUP(D2,Paramètres!A23:B316,2,FALSE),"Saisir commune")</f>
        <v>Saisir commune</v>
      </c>
      <c r="F4" s="6" t="s">
        <v>74</v>
      </c>
      <c r="G4" s="14" t="e">
        <f>VLOOKUP(C4,Ressources!A8:C301,3,FALSE)</f>
        <v>#N/A</v>
      </c>
    </row>
    <row r="5" spans="2:25" ht="22.5" customHeight="1" x14ac:dyDescent="0.25">
      <c r="B5" s="38" t="s">
        <v>429</v>
      </c>
      <c r="C5" s="39"/>
      <c r="D5" s="39"/>
      <c r="E5" s="39"/>
      <c r="F5" s="39"/>
      <c r="G5" s="39"/>
      <c r="I5" s="40" t="s">
        <v>78</v>
      </c>
      <c r="J5" s="40"/>
      <c r="K5" s="40"/>
      <c r="L5" s="40"/>
      <c r="M5" s="40"/>
      <c r="N5" s="41"/>
      <c r="P5" s="36" t="s">
        <v>92</v>
      </c>
      <c r="Q5" s="37"/>
      <c r="R5" s="37"/>
      <c r="S5" s="37"/>
      <c r="T5" s="37"/>
      <c r="U5" s="37"/>
    </row>
    <row r="6" spans="2:25" ht="22.5" customHeight="1" x14ac:dyDescent="0.25">
      <c r="B6" s="661" t="s">
        <v>71</v>
      </c>
      <c r="C6" s="661"/>
      <c r="D6" s="661"/>
      <c r="E6" s="661"/>
      <c r="F6" s="661"/>
      <c r="G6" s="3" t="e">
        <f>VLOOKUP(C4,Ressources!A8:F301,6,FALSE)</f>
        <v>#N/A</v>
      </c>
      <c r="I6" s="661" t="s">
        <v>79</v>
      </c>
      <c r="J6" s="661"/>
      <c r="K6" s="661"/>
      <c r="L6" s="661"/>
      <c r="M6" s="661"/>
      <c r="N6" s="3" t="e">
        <f>VLOOKUP(C4,'Besoins structurels'!A8:E301,5,FALSE)</f>
        <v>#N/A</v>
      </c>
      <c r="Q6" s="28"/>
      <c r="R6" s="28"/>
      <c r="S6" s="34" t="s">
        <v>82</v>
      </c>
      <c r="T6" s="35" t="s">
        <v>90</v>
      </c>
      <c r="U6" s="34" t="s">
        <v>21</v>
      </c>
    </row>
    <row r="7" spans="2:25" ht="22.5" customHeight="1" x14ac:dyDescent="0.25">
      <c r="B7" s="661" t="s">
        <v>72</v>
      </c>
      <c r="C7" s="661"/>
      <c r="D7" s="661"/>
      <c r="E7" s="661"/>
      <c r="F7" s="661"/>
      <c r="G7" s="3">
        <f>Ressources!F302</f>
        <v>3428.3920041538854</v>
      </c>
      <c r="I7" s="667" t="str">
        <f>_xlfn.CONCAT("Si elle avait une surface productive par habitant égale à ",TEXT('Besoins structurels'!I3,"0%")," de la médiane cantonale, elle aurait une surface productive de")</f>
        <v>Si elle avait une surface productive par habitant égale à 120% de la médiane cantonale, elle aurait une surface productive de</v>
      </c>
      <c r="J7" s="667"/>
      <c r="K7" s="667"/>
      <c r="L7" s="667"/>
      <c r="M7" s="667"/>
      <c r="N7" s="669" t="e">
        <f>VLOOKUP(C4,'Besoins structurels'!A8:G301,7,FALSE)</f>
        <v>#N/A</v>
      </c>
      <c r="P7" s="661" t="s">
        <v>83</v>
      </c>
      <c r="Q7" s="661"/>
      <c r="R7" s="661"/>
      <c r="S7" s="14" t="e">
        <f>VLOOKUP(C4,'Charges des villes'!A8:D301,4,FALSE)</f>
        <v>#N/A</v>
      </c>
      <c r="T7" s="14">
        <f>-'Charges des villes'!D6</f>
        <v>-133.65479723046488</v>
      </c>
      <c r="U7" s="31" t="e">
        <f>S7*T7</f>
        <v>#N/A</v>
      </c>
    </row>
    <row r="8" spans="2:25" ht="22.5" customHeight="1" x14ac:dyDescent="0.25">
      <c r="B8" s="666" t="s">
        <v>432</v>
      </c>
      <c r="C8" s="666"/>
      <c r="D8" s="666"/>
      <c r="E8" s="666"/>
      <c r="F8" s="16" t="s">
        <v>73</v>
      </c>
      <c r="G8" s="3" t="e">
        <f>G6-G7</f>
        <v>#N/A</v>
      </c>
      <c r="I8" s="667"/>
      <c r="J8" s="667"/>
      <c r="K8" s="667"/>
      <c r="L8" s="667"/>
      <c r="M8" s="667"/>
      <c r="N8" s="669"/>
      <c r="P8" s="661" t="s">
        <v>84</v>
      </c>
      <c r="Q8" s="661"/>
      <c r="R8" s="661"/>
      <c r="S8" s="14" t="e">
        <f>VLOOKUP(C4,'Charges des villes'!A8:E301,5,FALSE)</f>
        <v>#N/A</v>
      </c>
      <c r="T8" s="14">
        <f>-'Charges des villes'!E6</f>
        <v>-374.23343224530169</v>
      </c>
      <c r="U8" s="31" t="e">
        <f t="shared" ref="U8:U13" si="0">S8*T8</f>
        <v>#N/A</v>
      </c>
    </row>
    <row r="9" spans="2:25" ht="22.5" customHeight="1" x14ac:dyDescent="0.25">
      <c r="B9" s="666"/>
      <c r="C9" s="666"/>
      <c r="D9" s="666"/>
      <c r="E9" s="666"/>
      <c r="G9" s="30">
        <f>Paramètres!C5</f>
        <v>0.8</v>
      </c>
      <c r="I9" s="661" t="str">
        <f>_xlfn.CONCAT("L'écart entre sa surface productive et ",TEXT('Besoins structurels'!I3,"0%")," de la médiane est de")</f>
        <v>L'écart entre sa surface productive et 120% de la médiane est de</v>
      </c>
      <c r="J9" s="661"/>
      <c r="K9" s="661"/>
      <c r="L9" s="661"/>
      <c r="M9" s="661"/>
      <c r="N9" s="3" t="e">
        <f>N7-N6</f>
        <v>#N/A</v>
      </c>
      <c r="P9" s="661" t="s">
        <v>85</v>
      </c>
      <c r="Q9" s="661"/>
      <c r="R9" s="661"/>
      <c r="S9" s="14" t="e">
        <f>VLOOKUP(C4,'Charges des villes'!A8:F301,6,FALSE)</f>
        <v>#N/A</v>
      </c>
      <c r="T9" s="14">
        <f>-'Charges des villes'!F6</f>
        <v>-668.27398615232448</v>
      </c>
      <c r="U9" s="31" t="e">
        <f t="shared" si="0"/>
        <v>#N/A</v>
      </c>
    </row>
    <row r="10" spans="2:25" ht="22.5" customHeight="1" x14ac:dyDescent="0.25">
      <c r="B10" s="667" t="e">
        <f>IF(G10&gt;0,"Du moment que le revenu fiscal standardisé de la commune est supérieur à la moyenne, celle-ci participe au financement de la péréquation des ressources, avec un montant par habitant de CHF","Du moment que le revenu fiscal standardisé de la commune est inférieur à la moyenne, celle-ci reçoit un versement de la péréquation des ressources d'un montant par habitant de CHF")</f>
        <v>#N/A</v>
      </c>
      <c r="C10" s="667"/>
      <c r="D10" s="667"/>
      <c r="E10" s="667"/>
      <c r="F10" s="667"/>
      <c r="G10" s="671" t="e">
        <f>G9*G8</f>
        <v>#N/A</v>
      </c>
      <c r="I10" s="667" t="e">
        <f>IF(N9&gt;0,_xlfn.CONCAT("La surface productive de la commune étant inférieure à ",TEXT('Besoins structurels'!I3,"0%")," de la médiane, celle-ci ne reçoit pas de compensation de ce mécanisme de la péréquation"),_xlfn.CONCAT("La surface productive de la commune étant supérieure à ",TEXT('Besoins structurels'!I3,"0%")," de la médiane, celle-ci reçoit CHF ",TEXT(Paramètres!G7,0)," par hectare excédentaire, c'est-à-dire un total de CHF"))</f>
        <v>#N/A</v>
      </c>
      <c r="J10" s="667"/>
      <c r="K10" s="667"/>
      <c r="L10" s="667"/>
      <c r="M10" s="667"/>
      <c r="N10" s="673" t="e">
        <f>VLOOKUP(C4,'Besoins structurels'!A8:I301,9,FALSE)</f>
        <v>#N/A</v>
      </c>
      <c r="P10" s="661" t="s">
        <v>86</v>
      </c>
      <c r="Q10" s="661"/>
      <c r="R10" s="661"/>
      <c r="S10" s="14" t="e">
        <f>VLOOKUP(C4,'Charges des villes'!A8:G301,7,FALSE)</f>
        <v>#N/A</v>
      </c>
      <c r="T10" s="14">
        <f>-'Charges des villes'!G6</f>
        <v>-1069.238377843719</v>
      </c>
      <c r="U10" s="31" t="e">
        <f t="shared" si="0"/>
        <v>#N/A</v>
      </c>
    </row>
    <row r="11" spans="2:25" ht="22.5" customHeight="1" x14ac:dyDescent="0.25">
      <c r="B11" s="667"/>
      <c r="C11" s="667"/>
      <c r="D11" s="667"/>
      <c r="E11" s="667"/>
      <c r="F11" s="667"/>
      <c r="G11" s="671"/>
      <c r="I11" s="667"/>
      <c r="J11" s="667"/>
      <c r="K11" s="667"/>
      <c r="L11" s="667"/>
      <c r="M11" s="667"/>
      <c r="N11" s="673"/>
      <c r="P11" s="661" t="s">
        <v>87</v>
      </c>
      <c r="Q11" s="661"/>
      <c r="R11" s="661"/>
      <c r="S11" s="14" t="e">
        <f>VLOOKUP(C4,'Charges des villes'!A8:H301,8,FALSE)</f>
        <v>#N/A</v>
      </c>
      <c r="T11" s="14">
        <f>-'Charges des villes'!H6</f>
        <v>-1122.7002967359051</v>
      </c>
      <c r="U11" s="31" t="e">
        <f t="shared" si="0"/>
        <v>#N/A</v>
      </c>
    </row>
    <row r="12" spans="2:25" ht="22.5" customHeight="1" x14ac:dyDescent="0.25">
      <c r="B12" s="667"/>
      <c r="C12" s="667"/>
      <c r="D12" s="667"/>
      <c r="E12" s="667"/>
      <c r="F12" s="667"/>
      <c r="G12" s="671"/>
      <c r="P12" s="661" t="s">
        <v>88</v>
      </c>
      <c r="Q12" s="661"/>
      <c r="R12" s="661"/>
      <c r="S12" s="14" t="e">
        <f>VLOOKUP(C4,'Charges des villes'!A8:I301,9,FALSE)</f>
        <v>#N/A</v>
      </c>
      <c r="T12" s="14">
        <f>-'Charges des villes'!I6</f>
        <v>-1176.162215628091</v>
      </c>
      <c r="U12" s="31" t="e">
        <f t="shared" si="0"/>
        <v>#N/A</v>
      </c>
    </row>
    <row r="13" spans="2:25" ht="22.5" customHeight="1" x14ac:dyDescent="0.25">
      <c r="B13" s="661" t="s">
        <v>76</v>
      </c>
      <c r="C13" s="661"/>
      <c r="D13" s="661"/>
      <c r="E13" s="661"/>
      <c r="F13" s="661"/>
      <c r="G13" s="32" t="e">
        <f>G10*G4</f>
        <v>#N/A</v>
      </c>
      <c r="I13" s="40" t="s">
        <v>431</v>
      </c>
      <c r="J13" s="41"/>
      <c r="K13" s="41"/>
      <c r="L13" s="41"/>
      <c r="M13" s="41"/>
      <c r="N13" s="41"/>
      <c r="O13" s="51"/>
      <c r="P13" s="695" t="s">
        <v>89</v>
      </c>
      <c r="Q13" s="695"/>
      <c r="R13" s="695"/>
      <c r="S13" s="7" t="e">
        <f>VLOOKUP(C4,'Charges des villes'!A8:J301,10,FALSE)</f>
        <v>#N/A</v>
      </c>
      <c r="T13" s="7">
        <f>-'Charges des villes'!J6</f>
        <v>-1229.6241345202768</v>
      </c>
      <c r="U13" s="43" t="e">
        <f t="shared" si="0"/>
        <v>#N/A</v>
      </c>
    </row>
    <row r="14" spans="2:25" ht="22.5" customHeight="1" x14ac:dyDescent="0.25">
      <c r="I14" s="667" t="s">
        <v>471</v>
      </c>
      <c r="J14" s="667"/>
      <c r="K14" s="667"/>
      <c r="L14" s="667"/>
      <c r="M14" s="667"/>
      <c r="N14" s="44" t="e">
        <f>VLOOKUP(C4,'Besoins structurels'!A8:L301,12,FALSE)</f>
        <v>#N/A</v>
      </c>
      <c r="O14" s="51"/>
      <c r="R14" s="33" t="s">
        <v>25</v>
      </c>
      <c r="S14" s="14" t="e">
        <f>SUM(S7:S13)</f>
        <v>#N/A</v>
      </c>
      <c r="T14" s="6" t="s">
        <v>26</v>
      </c>
      <c r="U14" s="31" t="e">
        <f>SUM(U7:U13)</f>
        <v>#N/A</v>
      </c>
    </row>
    <row r="15" spans="2:25" ht="22.5" customHeight="1" x14ac:dyDescent="0.25">
      <c r="B15" s="38" t="s">
        <v>426</v>
      </c>
      <c r="C15" s="39"/>
      <c r="D15" s="39"/>
      <c r="E15" s="39"/>
      <c r="F15" s="39"/>
      <c r="G15" s="39"/>
      <c r="I15" s="667" t="str">
        <f>_xlfn.CONCAT("Cette commune a droit à une compensation par personne résidant en altitude égale à CHF ",TEXT(Paramètres!G12,0)," multipliés par la part susmentionnée, c'est-à-dire de CHF")</f>
        <v>Cette commune a droit à une compensation par personne résidant en altitude égale à CHF 588 multipliés par la part susmentionnée, c'est-à-dire de CHF</v>
      </c>
      <c r="J15" s="667"/>
      <c r="K15" s="667"/>
      <c r="L15" s="667"/>
      <c r="M15" s="667"/>
      <c r="N15" s="669" t="e">
        <f>VLOOKUP(C4,'Besoins structurels'!A8:M301,13,FALSE)</f>
        <v>#N/A</v>
      </c>
      <c r="O15" s="51"/>
    </row>
    <row r="16" spans="2:25" ht="22.5" customHeight="1" x14ac:dyDescent="0.25">
      <c r="B16" s="667" t="s">
        <v>75</v>
      </c>
      <c r="C16" s="667"/>
      <c r="D16" s="667"/>
      <c r="E16" s="667"/>
      <c r="F16" s="667"/>
      <c r="G16" s="672" t="e">
        <f>G6/G7</f>
        <v>#N/A</v>
      </c>
      <c r="I16" s="667"/>
      <c r="J16" s="667"/>
      <c r="K16" s="667"/>
      <c r="L16" s="667"/>
      <c r="M16" s="667"/>
      <c r="N16" s="669"/>
      <c r="O16" s="52"/>
      <c r="P16" s="667" t="s">
        <v>91</v>
      </c>
      <c r="Q16" s="667"/>
      <c r="R16" s="667"/>
      <c r="S16" s="667"/>
      <c r="T16" s="667"/>
      <c r="U16" s="668" t="e">
        <f>VLOOKUP(C4,'Charges des villes'!A8:M301,13,FALSE)</f>
        <v>#N/A</v>
      </c>
    </row>
    <row r="17" spans="2:21" ht="22.5" customHeight="1" x14ac:dyDescent="0.25">
      <c r="B17" s="667"/>
      <c r="C17" s="667"/>
      <c r="D17" s="667"/>
      <c r="E17" s="667"/>
      <c r="F17" s="667"/>
      <c r="G17" s="672"/>
      <c r="I17" s="692" t="s">
        <v>436</v>
      </c>
      <c r="J17" s="692"/>
      <c r="K17" s="692"/>
      <c r="L17" s="693" t="s">
        <v>435</v>
      </c>
      <c r="M17" s="693"/>
      <c r="N17" s="694" t="e">
        <f>VLOOKUP(C4,'Besoins structurels'!A8:K301,11,FALSE)</f>
        <v>#N/A</v>
      </c>
      <c r="P17" s="667"/>
      <c r="Q17" s="667"/>
      <c r="R17" s="667"/>
      <c r="S17" s="667"/>
      <c r="T17" s="667"/>
      <c r="U17" s="668"/>
    </row>
    <row r="18" spans="2:21" ht="22.5" customHeight="1" x14ac:dyDescent="0.25">
      <c r="B18" s="667"/>
      <c r="C18" s="667"/>
      <c r="D18" s="667"/>
      <c r="E18" s="667"/>
      <c r="F18" s="667"/>
      <c r="G18" s="672"/>
      <c r="I18" s="692"/>
      <c r="J18" s="692"/>
      <c r="K18" s="692"/>
      <c r="L18" s="693"/>
      <c r="M18" s="693"/>
      <c r="N18" s="694"/>
      <c r="P18" s="661" t="e">
        <f>IF(U18&gt;0,"La contribution nette de la commune est donc de CHF","La compensation nette en faveur de la commune est donc de CHF")</f>
        <v>#N/A</v>
      </c>
      <c r="Q18" s="661"/>
      <c r="R18" s="661"/>
      <c r="S18" s="661"/>
      <c r="T18" s="661"/>
      <c r="U18" s="42" t="e">
        <f>U14+U16</f>
        <v>#N/A</v>
      </c>
    </row>
    <row r="19" spans="2:21" ht="22.5" customHeight="1" x14ac:dyDescent="0.25">
      <c r="B19" s="661" t="e">
        <f>IF(G6&gt;G7,"Après péréquation des ressources, ce pourcentage est descendu à", "Après péréquation des ressources, ce pourcentage est monté à")</f>
        <v>#N/A</v>
      </c>
      <c r="C19" s="661"/>
      <c r="D19" s="661"/>
      <c r="E19" s="661"/>
      <c r="F19" s="661"/>
      <c r="G19" s="44" t="e">
        <f>(G6-G10)/G7</f>
        <v>#N/A</v>
      </c>
      <c r="I19" s="667" t="e">
        <f>IF(N19=0, "La commune n'ayant pas d'habitants qui résident en altitude, elle ne reçoit pas de compensation de ce mécanisme de la péréquation", "La compensation totale en faveur de la commune est donc de CHF")</f>
        <v>#N/A</v>
      </c>
      <c r="J19" s="667"/>
      <c r="K19" s="667"/>
      <c r="L19" s="667"/>
      <c r="M19" s="667"/>
      <c r="N19" s="673" t="e">
        <f>-N17*N15</f>
        <v>#N/A</v>
      </c>
    </row>
    <row r="20" spans="2:21" ht="22.5" customHeight="1" x14ac:dyDescent="0.25">
      <c r="B20" s="667" t="e">
        <f>IF(G19&lt;90%,_xlfn.CONCAT("Du moment que le pourcentage après péréquation des ressources n'atteigne pas ",TEXT(Paramètres!C6,"0%"),", cette commune reçoit, au titre de la dotation minimale, une compensation complémentaire de CHF"),_xlfn.CONCAT("Du moment que le pourcentage après péréquation des ressources est supérieur à ",TEXT(Paramètres!C6,"0%"),", cette commune ne reçoit pas de compensation complémentaire au titre de la dotation minimale"))</f>
        <v>#N/A</v>
      </c>
      <c r="C20" s="667"/>
      <c r="D20" s="667"/>
      <c r="E20" s="667"/>
      <c r="F20" s="667"/>
      <c r="G20" s="670" t="e">
        <f>VLOOKUP(C4,Ressources!A8:L301,12,FALSE)</f>
        <v>#N/A</v>
      </c>
      <c r="I20" s="667"/>
      <c r="J20" s="667"/>
      <c r="K20" s="667"/>
      <c r="L20" s="667"/>
      <c r="M20" s="667"/>
      <c r="N20" s="673"/>
      <c r="P20" s="36" t="s">
        <v>93</v>
      </c>
      <c r="Q20" s="37"/>
      <c r="R20" s="37"/>
      <c r="S20" s="37"/>
      <c r="T20" s="37"/>
      <c r="U20" s="37"/>
    </row>
    <row r="21" spans="2:21" ht="22.5" customHeight="1" x14ac:dyDescent="0.25">
      <c r="B21" s="667"/>
      <c r="C21" s="667"/>
      <c r="D21" s="667"/>
      <c r="E21" s="667"/>
      <c r="F21" s="667"/>
      <c r="G21" s="670"/>
      <c r="P21" s="667" t="s">
        <v>94</v>
      </c>
      <c r="Q21" s="667"/>
      <c r="R21" s="667"/>
      <c r="S21" s="667"/>
      <c r="T21" s="667"/>
      <c r="U21" s="684" t="e">
        <f>VLOOKUP(C4,'Charges des villes'!A8:R301,18,FALSE)</f>
        <v>#N/A</v>
      </c>
    </row>
    <row r="22" spans="2:21" ht="22.5" customHeight="1" x14ac:dyDescent="0.25">
      <c r="B22" s="667"/>
      <c r="C22" s="667"/>
      <c r="D22" s="667"/>
      <c r="E22" s="667"/>
      <c r="F22" s="667"/>
      <c r="G22" s="670"/>
      <c r="I22" s="40" t="s">
        <v>80</v>
      </c>
      <c r="J22" s="41"/>
      <c r="K22" s="41"/>
      <c r="L22" s="41"/>
      <c r="M22" s="41"/>
      <c r="N22" s="41"/>
      <c r="O22" s="51" t="s">
        <v>491</v>
      </c>
      <c r="P22" s="667"/>
      <c r="Q22" s="667"/>
      <c r="R22" s="667"/>
      <c r="S22" s="667"/>
      <c r="T22" s="667"/>
      <c r="U22" s="684"/>
    </row>
    <row r="23" spans="2:21" ht="22.5" customHeight="1" x14ac:dyDescent="0.25">
      <c r="I23" s="661" t="s">
        <v>81</v>
      </c>
      <c r="J23" s="661"/>
      <c r="K23" s="661"/>
      <c r="L23" s="661"/>
      <c r="M23" s="661"/>
      <c r="N23" s="14" t="e">
        <f>VLOOKUP(C4,'Besoins structurels'!A8:P301,16,FALSE)</f>
        <v>#N/A</v>
      </c>
      <c r="O23" s="51">
        <v>1</v>
      </c>
      <c r="P23" s="667" t="e">
        <f>IF(U21=0, "Du moment que sa participation est de 0, elle ne reçoit pas de compensation de la part de ce volet de la péréquation",_xlfn.CONCAT("La commune est compensée à hauteur de ",TEXT(Paramètres!U5,"0%")," de sa participation au financement de ces lignes, c'est-à-dire à hauteur de CHF"))</f>
        <v>#N/A</v>
      </c>
      <c r="Q23" s="667"/>
      <c r="R23" s="667"/>
      <c r="S23" s="667"/>
      <c r="T23" s="667"/>
      <c r="U23" s="668" t="e">
        <f>-U21*Paramètres!U5</f>
        <v>#N/A</v>
      </c>
    </row>
    <row r="24" spans="2:21" ht="22.5" customHeight="1" x14ac:dyDescent="0.25">
      <c r="B24" s="38" t="s">
        <v>428</v>
      </c>
      <c r="C24" s="39"/>
      <c r="D24" s="39"/>
      <c r="E24" s="39"/>
      <c r="F24" s="39"/>
      <c r="G24" s="39"/>
      <c r="I24" s="667" t="s">
        <v>425</v>
      </c>
      <c r="J24" s="667"/>
      <c r="K24" s="667"/>
      <c r="L24" s="667"/>
      <c r="M24" s="667"/>
      <c r="N24" s="684" t="e">
        <f>VLOOKUP(C4,'Besoins structurels'!A8:Q301,17,FALSE)</f>
        <v>#N/A</v>
      </c>
      <c r="O24" s="696">
        <f>Paramètres!G20</f>
        <v>0.15</v>
      </c>
      <c r="P24" s="667"/>
      <c r="Q24" s="667"/>
      <c r="R24" s="667"/>
      <c r="S24" s="667"/>
      <c r="T24" s="667"/>
      <c r="U24" s="668"/>
    </row>
    <row r="25" spans="2:21" ht="22.5" customHeight="1" x14ac:dyDescent="0.25">
      <c r="B25" s="667" t="str">
        <f>_xlfn.CONCAT("La commune doit verser à la péréquation ",TEXT(Paramètres!C9,"0%")," de son impôt sur les successions et donations, de son impôt sur les gains immobiliers et de ses droits de mutation, ce qui correspond à CHF")</f>
        <v>La commune doit verser à la péréquation 50% de son impôt sur les successions et donations, de son impôt sur les gains immobiliers et de ses droits de mutation, ce qui correspond à CHF</v>
      </c>
      <c r="C25" s="667"/>
      <c r="D25" s="667"/>
      <c r="E25" s="667"/>
      <c r="F25" s="667"/>
      <c r="G25" s="668" t="e">
        <f>VLOOKUP(C4,Ressources!A8:P301,14,FALSE)*Ressources!N6+VLOOKUP(C4,Ressources!A8:P301,15,FALSE)*Ressources!O6+VLOOKUP(C4,Ressources!A8:P301,16,FALSE)*Ressources!P6</f>
        <v>#N/A</v>
      </c>
      <c r="I25" s="667"/>
      <c r="J25" s="667"/>
      <c r="K25" s="667"/>
      <c r="L25" s="667"/>
      <c r="M25" s="667"/>
      <c r="N25" s="684"/>
      <c r="O25" s="696"/>
      <c r="P25" s="667" t="s">
        <v>95</v>
      </c>
      <c r="Q25" s="667"/>
      <c r="R25" s="667"/>
      <c r="S25" s="667"/>
      <c r="T25" s="667"/>
      <c r="U25" s="668" t="e">
        <f>VLOOKUP(C4,'Charges des villes'!A8:T301,20,FALSE)</f>
        <v>#N/A</v>
      </c>
    </row>
    <row r="26" spans="2:21" ht="22.5" customHeight="1" x14ac:dyDescent="0.25">
      <c r="B26" s="667"/>
      <c r="C26" s="667"/>
      <c r="D26" s="667"/>
      <c r="E26" s="667"/>
      <c r="F26" s="667"/>
      <c r="G26" s="668"/>
      <c r="I26" s="661" t="s">
        <v>396</v>
      </c>
      <c r="J26" s="661"/>
      <c r="K26" s="661"/>
      <c r="L26" s="661"/>
      <c r="M26" s="661"/>
      <c r="N26" s="3" t="e">
        <f>N23*O23+N24*O24</f>
        <v>#N/A</v>
      </c>
      <c r="P26" s="667"/>
      <c r="Q26" s="667"/>
      <c r="R26" s="667"/>
      <c r="S26" s="667"/>
      <c r="T26" s="667"/>
      <c r="U26" s="668"/>
    </row>
    <row r="27" spans="2:21" ht="22.5" customHeight="1" x14ac:dyDescent="0.25">
      <c r="B27" s="667" t="str">
        <f>_xlfn.CONCAT("La commune doit verser à la péréquation ",TEXT(Paramètres!C11,"0%")," de son impôt sur les frontaliers, ce qui correspond à CHF")</f>
        <v>La commune doit verser à la péréquation 30% de son impôt sur les frontaliers, ce qui correspond à CHF</v>
      </c>
      <c r="C27" s="667"/>
      <c r="D27" s="667"/>
      <c r="E27" s="667"/>
      <c r="F27" s="667"/>
      <c r="G27" s="668" t="e">
        <f>VLOOKUP(C4,Ressources!A8:Q301,17,FALSE)*Ressources!Q6</f>
        <v>#N/A</v>
      </c>
      <c r="I27" s="667" t="str">
        <f>_xlfn.CONCAT("Si elle avait un nombre d'élèves pondéré par habitant égale à ",TEXT('Besoins structurels'!V3,"0%")," de la moyenne cantonale, elle aurait le nombre d'élèves pondérés suivant")</f>
        <v>Si elle avait un nombre d'élèves pondéré par habitant égale à 120% de la moyenne cantonale, elle aurait le nombre d'élèves pondérés suivant</v>
      </c>
      <c r="J27" s="667"/>
      <c r="K27" s="667"/>
      <c r="L27" s="667"/>
      <c r="M27" s="667"/>
      <c r="N27" s="669" t="e">
        <f>VLOOKUP(C4,'Besoins structurels'!A8:T301,20,FALSE)</f>
        <v>#N/A</v>
      </c>
      <c r="P27" s="661" t="e">
        <f>IF(U27&gt;0,"La contribution nette de la commune est donc de CHF","La compensation nette en faveur de la commune est donc de CHF")</f>
        <v>#N/A</v>
      </c>
      <c r="Q27" s="661"/>
      <c r="R27" s="661"/>
      <c r="S27" s="661"/>
      <c r="T27" s="661"/>
      <c r="U27" s="42" t="e">
        <f>U25+U23</f>
        <v>#N/A</v>
      </c>
    </row>
    <row r="28" spans="2:21" ht="22.5" customHeight="1" x14ac:dyDescent="0.25">
      <c r="B28" s="667"/>
      <c r="C28" s="667"/>
      <c r="D28" s="667"/>
      <c r="E28" s="667"/>
      <c r="F28" s="667"/>
      <c r="G28" s="668"/>
      <c r="I28" s="667"/>
      <c r="J28" s="667"/>
      <c r="K28" s="667"/>
      <c r="L28" s="667"/>
      <c r="M28" s="667"/>
      <c r="N28" s="669"/>
    </row>
    <row r="29" spans="2:21" ht="22.5" customHeight="1" x14ac:dyDescent="0.25">
      <c r="B29" s="667" t="s">
        <v>556</v>
      </c>
      <c r="C29" s="667"/>
      <c r="D29" s="667"/>
      <c r="E29" s="667"/>
      <c r="F29" s="667"/>
      <c r="G29" s="668" t="e">
        <f>VLOOKUP(C4,Ressources!A8:S301,19,FALSE)</f>
        <v>#N/A</v>
      </c>
      <c r="I29" s="661" t="str">
        <f>_xlfn.CONCAT("L'écart entre ses élèves pondérés et ",TEXT('Besoins structurels'!V3,"0%")," de la moyenne est de")</f>
        <v>L'écart entre ses élèves pondérés et 120% de la moyenne est de</v>
      </c>
      <c r="J29" s="661"/>
      <c r="K29" s="661"/>
      <c r="L29" s="661"/>
      <c r="M29" s="661"/>
      <c r="N29" s="3" t="e">
        <f>N26-N27</f>
        <v>#N/A</v>
      </c>
      <c r="P29" s="219" t="s">
        <v>33</v>
      </c>
      <c r="Q29" s="220"/>
      <c r="R29" s="220"/>
      <c r="S29" s="220"/>
      <c r="T29" s="220"/>
      <c r="U29" s="220"/>
    </row>
    <row r="30" spans="2:21" ht="22.5" customHeight="1" x14ac:dyDescent="0.25">
      <c r="B30" s="667"/>
      <c r="C30" s="667"/>
      <c r="D30" s="667"/>
      <c r="E30" s="667"/>
      <c r="F30" s="667"/>
      <c r="G30" s="668"/>
      <c r="I30" s="667" t="e">
        <f>IF(N29&lt;0,_xlfn.CONCAT("Le nombre d'élèves pondéré de la commune étant inférieur à ",TEXT('Besoins structurels'!V3,"0%")," de la moyenne, celle-ci ne reçoit pas de compensation de ce mécanisme de la péréquation"), _xlfn.CONCAT("Le nombre d'élèves pondéré de la commune étant supérieur à ",TEXT('Besoins structurels'!V3,"0%")," de la moyenne, celle-ci reçoit CHF ",TEXT(Paramètres!G19,"#'##0")," par élève excédentaire, c'est-à-dire un total de CHF"))</f>
        <v>#N/A</v>
      </c>
      <c r="J30" s="667"/>
      <c r="K30" s="667"/>
      <c r="L30" s="667"/>
      <c r="M30" s="667"/>
      <c r="N30" s="673" t="e">
        <f>VLOOKUP(C4,'Besoins structurels'!A8:V301,22,FALSE)</f>
        <v>#N/A</v>
      </c>
      <c r="P30" s="661" t="s">
        <v>97</v>
      </c>
      <c r="Q30" s="661"/>
      <c r="R30" s="661"/>
      <c r="S30" s="661"/>
      <c r="T30" s="661"/>
      <c r="U30" s="14">
        <f>Police!Q3</f>
        <v>76514572</v>
      </c>
    </row>
    <row r="31" spans="2:21" ht="22.5" customHeight="1" x14ac:dyDescent="0.25">
      <c r="B31" s="661" t="e">
        <f>IF(G31&gt;0,"Au net, cette commune est contributrice de ce mécanisme pour CHF","Au net, cette commune est bénéficiaire de ce mécanisme pour CHF")</f>
        <v>#N/A</v>
      </c>
      <c r="C31" s="661"/>
      <c r="D31" s="661"/>
      <c r="E31" s="661"/>
      <c r="F31" s="661"/>
      <c r="G31" s="32" t="e">
        <f>SUM(G25:G30)</f>
        <v>#N/A</v>
      </c>
      <c r="I31" s="667"/>
      <c r="J31" s="667"/>
      <c r="K31" s="667"/>
      <c r="L31" s="667"/>
      <c r="M31" s="667"/>
      <c r="N31" s="673"/>
      <c r="P31" s="667" t="s">
        <v>98</v>
      </c>
      <c r="Q31" s="667"/>
      <c r="R31" s="667"/>
      <c r="S31" s="667"/>
      <c r="T31" s="667"/>
      <c r="U31" s="669">
        <f>Police!Q6/Police!C302</f>
        <v>30.987380847139519</v>
      </c>
    </row>
    <row r="32" spans="2:21" ht="22.5" customHeight="1" thickBot="1" x14ac:dyDescent="0.3">
      <c r="I32" s="84"/>
      <c r="J32" s="84"/>
      <c r="K32" s="84"/>
      <c r="L32" s="84"/>
      <c r="M32" s="84"/>
      <c r="N32" s="84"/>
      <c r="P32" s="667"/>
      <c r="Q32" s="667"/>
      <c r="R32" s="667"/>
      <c r="S32" s="667"/>
      <c r="T32" s="667"/>
      <c r="U32" s="669"/>
    </row>
    <row r="33" spans="2:21" ht="22.5" customHeight="1" thickTop="1" thickBot="1" x14ac:dyDescent="0.3">
      <c r="B33" s="219" t="s">
        <v>34</v>
      </c>
      <c r="C33" s="220"/>
      <c r="D33" s="220"/>
      <c r="E33" s="220"/>
      <c r="F33" s="220"/>
      <c r="G33" s="220"/>
      <c r="P33" s="667" t="e">
        <f>_xlfn.CONCAT(TEXT(1-Paramètres!C18,"0%")," de la facture est répartie exclusivement entre les communes délégatrices. Sa répartition se fait à ",TEXT(Paramètres!C19,"0%")," selon la population et à ",TEXT(Paramètres!C20,"0%")," selon la population pondérée.",IF(U33&gt;0," Pour une délégatrice de la taille de cette commune, la participation par habitant est de CHF","Cette commune n'étant pas délégatrice, elle ne finance pas cette partie de la facture"))</f>
        <v>#N/A</v>
      </c>
      <c r="Q33" s="667"/>
      <c r="R33" s="667"/>
      <c r="S33" s="667"/>
      <c r="T33" s="667"/>
      <c r="U33" s="669" t="e">
        <f>(VLOOKUP(C4,Police!A8:R301,18,FALSE)+VLOOKUP(C4,Police!A8:S301,19,FALSE)+VLOOKUP(C4,Police!A8:T301,20,FALSE))/'Détail par commune'!G4</f>
        <v>#N/A</v>
      </c>
    </row>
    <row r="34" spans="2:21" ht="22.5" customHeight="1" x14ac:dyDescent="0.25">
      <c r="B34" s="667" t="s">
        <v>99</v>
      </c>
      <c r="C34" s="667"/>
      <c r="D34" s="667"/>
      <c r="E34" s="667"/>
      <c r="F34" s="667"/>
      <c r="G34" s="684">
        <f>PCS!D4</f>
        <v>861540400</v>
      </c>
      <c r="I34" s="674" t="s">
        <v>474</v>
      </c>
      <c r="J34" s="676" t="s">
        <v>473</v>
      </c>
      <c r="K34" s="678" t="s">
        <v>475</v>
      </c>
      <c r="L34" s="680" t="s">
        <v>476</v>
      </c>
      <c r="M34" s="682" t="s">
        <v>487</v>
      </c>
      <c r="N34" s="682" t="s">
        <v>472</v>
      </c>
      <c r="P34" s="667"/>
      <c r="Q34" s="667"/>
      <c r="R34" s="667"/>
      <c r="S34" s="667"/>
      <c r="T34" s="667"/>
      <c r="U34" s="669"/>
    </row>
    <row r="35" spans="2:21" ht="22.5" customHeight="1" thickBot="1" x14ac:dyDescent="0.3">
      <c r="B35" s="667"/>
      <c r="C35" s="667"/>
      <c r="D35" s="667"/>
      <c r="E35" s="667"/>
      <c r="F35" s="667"/>
      <c r="G35" s="646"/>
      <c r="I35" s="675"/>
      <c r="J35" s="677"/>
      <c r="K35" s="679"/>
      <c r="L35" s="681"/>
      <c r="M35" s="683"/>
      <c r="N35" s="683"/>
      <c r="P35" s="667"/>
      <c r="Q35" s="667"/>
      <c r="R35" s="667"/>
      <c r="S35" s="667"/>
      <c r="T35" s="667"/>
      <c r="U35" s="669"/>
    </row>
    <row r="36" spans="2:21" ht="22.5" customHeight="1" thickBot="1" x14ac:dyDescent="0.3">
      <c r="B36" s="661" t="s">
        <v>96</v>
      </c>
      <c r="C36" s="661"/>
      <c r="D36" s="661"/>
      <c r="E36" s="661"/>
      <c r="F36" s="661"/>
      <c r="G36" s="14">
        <f>G34/Données!C302</f>
        <v>996.89247951346056</v>
      </c>
      <c r="I36" s="62" t="e">
        <f>VLOOKUP(C4,Synthèse!A8:F301,6,FALSE)</f>
        <v>#N/A</v>
      </c>
      <c r="J36" s="61" t="e">
        <f>VLOOKUP(C4,Synthèse!A8:J301,10,FALSE)</f>
        <v>#N/A</v>
      </c>
      <c r="K36" s="60" t="e">
        <f>VLOOKUP(C4,Synthèse!A8:M301,13,FALSE)</f>
        <v>#N/A</v>
      </c>
      <c r="L36" s="71" t="e">
        <f>VLOOKUP(C4,Synthèse!A8:N301,14,FALSE)</f>
        <v>#N/A</v>
      </c>
      <c r="M36" s="221" t="e">
        <f>VLOOKUP(C4,Synthèse!A8:T301,20,FALSE)</f>
        <v>#N/A</v>
      </c>
      <c r="N36" s="221" t="e">
        <f>VLOOKUP(C4,Synthèse!A8:U301,21,FALSE)</f>
        <v>#N/A</v>
      </c>
      <c r="P36" s="667"/>
      <c r="Q36" s="667"/>
      <c r="R36" s="667"/>
      <c r="S36" s="667"/>
      <c r="T36" s="667"/>
      <c r="U36" s="669"/>
    </row>
    <row r="37" spans="2:21" ht="22.5" customHeight="1" thickBot="1" x14ac:dyDescent="0.3">
      <c r="B37" s="667" t="e">
        <f>_xlfn.CONCAT("Avec sa population de ",TEXT(G4,"#'##0")," habitants, cette commune participe donc au financement de la PCS pour un total de CHF")</f>
        <v>#N/A</v>
      </c>
      <c r="C37" s="667"/>
      <c r="D37" s="667"/>
      <c r="E37" s="667"/>
      <c r="F37" s="667"/>
      <c r="G37" s="690" t="e">
        <f>G36*G4</f>
        <v>#N/A</v>
      </c>
      <c r="I37" s="691" t="s">
        <v>100</v>
      </c>
      <c r="J37" s="691"/>
      <c r="K37" s="691"/>
      <c r="L37" s="691"/>
      <c r="M37" s="691"/>
      <c r="N37" s="691"/>
      <c r="P37" s="667" t="e">
        <f>_xlfn.CONCAT("Avec sa population de ",TEXT(G4,"#'##0")," habitants, cette commune participe au financement de la facture policière pour un total de CHF")</f>
        <v>#N/A</v>
      </c>
      <c r="Q37" s="667"/>
      <c r="R37" s="667"/>
      <c r="S37" s="667"/>
      <c r="T37" s="667"/>
      <c r="U37" s="690" t="e">
        <f>VLOOKUP(C4,Police!A8:U301,21,FALSE)</f>
        <v>#N/A</v>
      </c>
    </row>
    <row r="38" spans="2:21" ht="22.5" customHeight="1" thickBot="1" x14ac:dyDescent="0.3">
      <c r="B38" s="667"/>
      <c r="C38" s="667"/>
      <c r="D38" s="667"/>
      <c r="E38" s="667"/>
      <c r="F38" s="667"/>
      <c r="G38" s="690"/>
      <c r="I38" s="687" t="s">
        <v>512</v>
      </c>
      <c r="J38" s="688"/>
      <c r="K38" s="688"/>
      <c r="L38" s="689"/>
      <c r="M38" s="685" t="e">
        <f>VLOOKUP(C4,Synthèse!A8:V301,22,FALSE)</f>
        <v>#N/A</v>
      </c>
      <c r="N38" s="686"/>
      <c r="P38" s="667"/>
      <c r="Q38" s="667"/>
      <c r="R38" s="667"/>
      <c r="S38" s="667"/>
      <c r="T38" s="667"/>
      <c r="U38" s="690"/>
    </row>
    <row r="39" spans="2:21" ht="22.5" customHeight="1" x14ac:dyDescent="0.25">
      <c r="P39" s="660" t="e">
        <f>IF(VLOOKUP(C4,Police!A8:N301,14,FALSE)&lt;&gt;VLOOKUP(C4,Police!A8:N301,13,FALSE),"NB : ce montant tient compte du changement de police par rapport à 2025","")</f>
        <v>#N/A</v>
      </c>
      <c r="Q39" s="660"/>
      <c r="R39" s="660"/>
      <c r="S39" s="660"/>
      <c r="T39" s="660"/>
      <c r="U39" s="434"/>
    </row>
    <row r="40" spans="2:21" ht="22.5" customHeight="1" x14ac:dyDescent="0.25">
      <c r="P40" s="66"/>
      <c r="Q40" s="66"/>
      <c r="R40" s="66"/>
      <c r="S40" s="66"/>
      <c r="T40" s="66"/>
    </row>
    <row r="41" spans="2:21" ht="22.5" customHeight="1" x14ac:dyDescent="0.25"/>
    <row r="42" spans="2:21" ht="22.5" customHeight="1" x14ac:dyDescent="0.25"/>
    <row r="43" spans="2:21" ht="22.5" customHeight="1" x14ac:dyDescent="0.25"/>
    <row r="44" spans="2:21" ht="22.5" customHeight="1" x14ac:dyDescent="0.25"/>
    <row r="45" spans="2:21" ht="22.5" customHeight="1" x14ac:dyDescent="0.25"/>
    <row r="46" spans="2:21" ht="22.5" customHeight="1" x14ac:dyDescent="0.25"/>
    <row r="47" spans="2:21" ht="22.5" customHeight="1" x14ac:dyDescent="0.25"/>
    <row r="48" spans="2:21" ht="22.5" customHeight="1" x14ac:dyDescent="0.25"/>
    <row r="49" ht="22.5" customHeight="1" x14ac:dyDescent="0.25"/>
    <row r="50" ht="22.5" customHeight="1" x14ac:dyDescent="0.25"/>
    <row r="51" ht="22.5" customHeight="1" x14ac:dyDescent="0.25"/>
    <row r="52" ht="22.5" customHeight="1" x14ac:dyDescent="0.25"/>
    <row r="53" ht="22.5" customHeight="1" x14ac:dyDescent="0.25"/>
    <row r="54" ht="22.5" customHeight="1" x14ac:dyDescent="0.25"/>
    <row r="55" ht="22.5" customHeight="1" x14ac:dyDescent="0.25"/>
    <row r="56" ht="22.5" customHeight="1" x14ac:dyDescent="0.25"/>
    <row r="57" ht="22.5" customHeight="1" x14ac:dyDescent="0.25"/>
    <row r="58" ht="22.5" customHeight="1" x14ac:dyDescent="0.25"/>
    <row r="59" ht="22.5" customHeight="1" x14ac:dyDescent="0.25"/>
    <row r="60" ht="22.5" customHeight="1" x14ac:dyDescent="0.25"/>
    <row r="61" ht="22.5" customHeight="1" x14ac:dyDescent="0.25"/>
    <row r="62" ht="22.5" customHeight="1" x14ac:dyDescent="0.25"/>
    <row r="63" ht="22.5" customHeight="1" x14ac:dyDescent="0.25"/>
    <row r="64" ht="22.5" customHeight="1" x14ac:dyDescent="0.25"/>
    <row r="65" ht="22.5" customHeight="1" x14ac:dyDescent="0.25"/>
    <row r="66" ht="22.5" customHeight="1" x14ac:dyDescent="0.25"/>
    <row r="67" ht="22.5" customHeight="1" x14ac:dyDescent="0.25"/>
    <row r="68" ht="22.5" customHeight="1" x14ac:dyDescent="0.25"/>
    <row r="69" ht="22.5" customHeight="1" x14ac:dyDescent="0.25"/>
    <row r="70" ht="22.5" customHeight="1" x14ac:dyDescent="0.25"/>
    <row r="71" ht="22.5" customHeight="1" x14ac:dyDescent="0.25"/>
    <row r="72" ht="22.5" customHeight="1" x14ac:dyDescent="0.25"/>
    <row r="73" ht="22.5" customHeight="1" x14ac:dyDescent="0.25"/>
    <row r="74" ht="22.5" customHeight="1" x14ac:dyDescent="0.25"/>
    <row r="75" ht="22.5" customHeight="1" x14ac:dyDescent="0.25"/>
    <row r="76" ht="22.5" customHeight="1" x14ac:dyDescent="0.25"/>
    <row r="77" ht="22.5" customHeight="1" x14ac:dyDescent="0.25"/>
    <row r="78" ht="22.5" customHeight="1" x14ac:dyDescent="0.25"/>
    <row r="79" ht="22.5" customHeight="1" x14ac:dyDescent="0.25"/>
    <row r="80" ht="22.5" customHeight="1" x14ac:dyDescent="0.25"/>
    <row r="81" ht="22.5" customHeight="1" x14ac:dyDescent="0.25"/>
    <row r="82" ht="22.5" customHeight="1" x14ac:dyDescent="0.25"/>
    <row r="83" ht="22.5" customHeight="1" x14ac:dyDescent="0.25"/>
    <row r="84" ht="22.5" customHeight="1" x14ac:dyDescent="0.25"/>
    <row r="85" ht="22.5" customHeight="1" x14ac:dyDescent="0.25"/>
    <row r="86" ht="22.5" customHeight="1" x14ac:dyDescent="0.25"/>
    <row r="87" ht="22.5" customHeight="1" x14ac:dyDescent="0.25"/>
    <row r="88" ht="22.5" customHeight="1" x14ac:dyDescent="0.25"/>
    <row r="89" ht="22.5" customHeight="1" x14ac:dyDescent="0.25"/>
    <row r="90" ht="22.5" customHeight="1" x14ac:dyDescent="0.25"/>
    <row r="91" ht="22.5" customHeight="1" x14ac:dyDescent="0.25"/>
    <row r="92" ht="22.5" customHeight="1" x14ac:dyDescent="0.25"/>
    <row r="93" ht="22.5" customHeight="1" x14ac:dyDescent="0.25"/>
    <row r="94" ht="22.5" customHeight="1" x14ac:dyDescent="0.25"/>
    <row r="95" ht="22.5" customHeight="1" x14ac:dyDescent="0.25"/>
    <row r="96" ht="22.5" customHeight="1" x14ac:dyDescent="0.25"/>
    <row r="97" ht="22.5" customHeight="1" x14ac:dyDescent="0.25"/>
    <row r="98" ht="22.5" customHeight="1" x14ac:dyDescent="0.25"/>
    <row r="99" ht="22.5" customHeight="1" x14ac:dyDescent="0.25"/>
    <row r="100" ht="22.5" customHeight="1" x14ac:dyDescent="0.25"/>
    <row r="101" ht="22.5" customHeight="1" x14ac:dyDescent="0.25"/>
    <row r="102" ht="22.5" customHeight="1" x14ac:dyDescent="0.25"/>
    <row r="103" ht="22.5" customHeight="1" x14ac:dyDescent="0.25"/>
    <row r="104" ht="22.5" customHeight="1" x14ac:dyDescent="0.25"/>
    <row r="105" ht="22.5" customHeight="1" x14ac:dyDescent="0.25"/>
    <row r="106" ht="22.5" customHeight="1" x14ac:dyDescent="0.25"/>
    <row r="107" ht="22.5" customHeight="1" x14ac:dyDescent="0.25"/>
    <row r="108" ht="22.5" customHeight="1" x14ac:dyDescent="0.25"/>
    <row r="109" ht="22.5" customHeight="1" x14ac:dyDescent="0.25"/>
    <row r="110" ht="22.5" customHeight="1" x14ac:dyDescent="0.25"/>
    <row r="111" ht="22.5" customHeight="1" x14ac:dyDescent="0.25"/>
    <row r="112" ht="22.5" customHeight="1" x14ac:dyDescent="0.25"/>
    <row r="113" ht="22.5" customHeight="1" x14ac:dyDescent="0.25"/>
    <row r="114" ht="22.5" customHeight="1" x14ac:dyDescent="0.25"/>
    <row r="115" ht="22.5" customHeight="1" x14ac:dyDescent="0.25"/>
    <row r="116" ht="22.5" customHeight="1" x14ac:dyDescent="0.25"/>
    <row r="117" ht="22.5" customHeight="1" x14ac:dyDescent="0.25"/>
    <row r="118" ht="22.5" customHeight="1" x14ac:dyDescent="0.25"/>
    <row r="119" ht="22.5" customHeight="1" x14ac:dyDescent="0.25"/>
    <row r="120" ht="22.5" customHeight="1" x14ac:dyDescent="0.25"/>
    <row r="121" ht="22.5" customHeight="1" x14ac:dyDescent="0.25"/>
    <row r="122" ht="22.5" customHeight="1" x14ac:dyDescent="0.25"/>
    <row r="123" ht="22.5" customHeight="1" x14ac:dyDescent="0.25"/>
    <row r="124" ht="22.5" customHeight="1" x14ac:dyDescent="0.25"/>
    <row r="125" ht="22.5" customHeight="1" x14ac:dyDescent="0.25"/>
    <row r="126" ht="22.5" customHeight="1" x14ac:dyDescent="0.25"/>
    <row r="127" ht="22.5" customHeight="1" x14ac:dyDescent="0.25"/>
    <row r="128" ht="22.5" customHeight="1" x14ac:dyDescent="0.25"/>
    <row r="129" ht="22.5" customHeight="1" x14ac:dyDescent="0.25"/>
    <row r="130" ht="22.5" customHeight="1" x14ac:dyDescent="0.25"/>
    <row r="131" ht="22.5" customHeight="1" x14ac:dyDescent="0.25"/>
    <row r="132" ht="22.5" customHeight="1" x14ac:dyDescent="0.25"/>
    <row r="133" ht="22.5" customHeight="1" x14ac:dyDescent="0.25"/>
    <row r="134" ht="22.5" customHeight="1" x14ac:dyDescent="0.25"/>
    <row r="135" ht="22.5" customHeight="1" x14ac:dyDescent="0.25"/>
    <row r="136" ht="22.5" customHeight="1" x14ac:dyDescent="0.25"/>
    <row r="137" ht="22.5" customHeight="1" x14ac:dyDescent="0.25"/>
    <row r="138" ht="22.5" customHeight="1" x14ac:dyDescent="0.25"/>
    <row r="139" ht="22.5" customHeight="1" x14ac:dyDescent="0.25"/>
    <row r="140" ht="22.5" customHeight="1" x14ac:dyDescent="0.25"/>
    <row r="141" ht="22.5" customHeight="1" x14ac:dyDescent="0.25"/>
    <row r="142" ht="22.5" customHeight="1" x14ac:dyDescent="0.25"/>
    <row r="143" ht="22.5" customHeight="1" x14ac:dyDescent="0.25"/>
    <row r="144" ht="22.5" customHeight="1" x14ac:dyDescent="0.25"/>
    <row r="145" ht="22.5" customHeight="1" x14ac:dyDescent="0.25"/>
    <row r="146" ht="22.5" customHeight="1" x14ac:dyDescent="0.25"/>
    <row r="147" ht="22.5" customHeight="1" x14ac:dyDescent="0.25"/>
    <row r="148" ht="22.5" customHeight="1" x14ac:dyDescent="0.25"/>
    <row r="149" ht="22.5" customHeight="1" x14ac:dyDescent="0.25"/>
    <row r="150" ht="22.5" customHeight="1" x14ac:dyDescent="0.25"/>
    <row r="151" ht="22.5" customHeight="1" x14ac:dyDescent="0.25"/>
    <row r="152" ht="22.5" customHeight="1" x14ac:dyDescent="0.25"/>
    <row r="153" ht="22.5" customHeight="1" x14ac:dyDescent="0.25"/>
    <row r="154" ht="22.5" customHeight="1" x14ac:dyDescent="0.25"/>
    <row r="155" ht="22.5" customHeight="1" x14ac:dyDescent="0.25"/>
    <row r="156" ht="22.5" customHeight="1" x14ac:dyDescent="0.25"/>
    <row r="157" ht="22.5" customHeight="1" x14ac:dyDescent="0.25"/>
    <row r="158" ht="22.5" customHeight="1" x14ac:dyDescent="0.25"/>
    <row r="159" ht="22.5" customHeight="1" x14ac:dyDescent="0.25"/>
    <row r="160" ht="22.5" customHeight="1" x14ac:dyDescent="0.25"/>
    <row r="161" ht="22.5" customHeight="1" x14ac:dyDescent="0.25"/>
    <row r="162" ht="22.5" customHeight="1" x14ac:dyDescent="0.25"/>
    <row r="163" ht="22.5" customHeight="1" x14ac:dyDescent="0.25"/>
    <row r="164" ht="22.5" customHeight="1" x14ac:dyDescent="0.25"/>
    <row r="165" ht="22.5" customHeight="1" x14ac:dyDescent="0.25"/>
    <row r="166" ht="22.5" customHeight="1" x14ac:dyDescent="0.25"/>
    <row r="167" ht="22.5" customHeight="1" x14ac:dyDescent="0.25"/>
    <row r="168" ht="22.5" customHeight="1" x14ac:dyDescent="0.25"/>
    <row r="169" ht="22.5" customHeight="1" x14ac:dyDescent="0.25"/>
    <row r="170" ht="22.5" customHeight="1" x14ac:dyDescent="0.25"/>
    <row r="171" ht="22.5" customHeight="1" x14ac:dyDescent="0.25"/>
    <row r="172" ht="22.5" customHeight="1" x14ac:dyDescent="0.25"/>
    <row r="173" ht="22.5" customHeight="1" x14ac:dyDescent="0.25"/>
    <row r="174" ht="22.5" customHeight="1" x14ac:dyDescent="0.25"/>
    <row r="175" ht="22.5" customHeight="1" x14ac:dyDescent="0.25"/>
    <row r="176" ht="22.5" customHeight="1" x14ac:dyDescent="0.25"/>
    <row r="177" ht="22.5" customHeight="1" x14ac:dyDescent="0.25"/>
    <row r="178" ht="22.5" customHeight="1" x14ac:dyDescent="0.25"/>
    <row r="179" ht="22.5" customHeight="1" x14ac:dyDescent="0.25"/>
    <row r="180" ht="22.5" customHeight="1" x14ac:dyDescent="0.25"/>
    <row r="181" ht="22.5" customHeight="1" x14ac:dyDescent="0.25"/>
    <row r="182" ht="22.5" customHeight="1" x14ac:dyDescent="0.25"/>
    <row r="183" ht="22.5" customHeight="1" x14ac:dyDescent="0.25"/>
    <row r="184" ht="22.5" customHeight="1" x14ac:dyDescent="0.25"/>
    <row r="185" ht="22.5" customHeight="1" x14ac:dyDescent="0.25"/>
    <row r="186" ht="22.5" customHeight="1" x14ac:dyDescent="0.25"/>
    <row r="187" ht="22.5" customHeight="1" x14ac:dyDescent="0.25"/>
    <row r="188" ht="22.5" customHeight="1" x14ac:dyDescent="0.25"/>
    <row r="189" ht="22.5" customHeight="1" x14ac:dyDescent="0.25"/>
    <row r="190" ht="22.5" customHeight="1" x14ac:dyDescent="0.25"/>
    <row r="191" ht="22.5" customHeight="1" x14ac:dyDescent="0.25"/>
    <row r="192" ht="22.5" customHeight="1" x14ac:dyDescent="0.25"/>
    <row r="193" ht="22.5" customHeight="1" x14ac:dyDescent="0.25"/>
    <row r="194" ht="22.5" customHeight="1" x14ac:dyDescent="0.25"/>
    <row r="195" ht="22.5" customHeight="1" x14ac:dyDescent="0.25"/>
    <row r="196" ht="22.5" customHeight="1" x14ac:dyDescent="0.25"/>
    <row r="197" ht="22.5" customHeight="1" x14ac:dyDescent="0.25"/>
    <row r="198" ht="22.5" customHeight="1" x14ac:dyDescent="0.25"/>
    <row r="199" ht="22.5" customHeight="1" x14ac:dyDescent="0.25"/>
    <row r="200" ht="22.5" customHeight="1" x14ac:dyDescent="0.25"/>
    <row r="201" ht="22.5" customHeight="1" x14ac:dyDescent="0.25"/>
    <row r="202" ht="22.5" customHeight="1" x14ac:dyDescent="0.25"/>
    <row r="203" ht="22.5" customHeight="1" x14ac:dyDescent="0.25"/>
    <row r="204" ht="22.5" customHeight="1" x14ac:dyDescent="0.25"/>
    <row r="205" ht="22.5" customHeight="1" x14ac:dyDescent="0.25"/>
    <row r="206" ht="22.5" customHeight="1" x14ac:dyDescent="0.25"/>
    <row r="207" ht="22.5" customHeight="1" x14ac:dyDescent="0.25"/>
    <row r="208" ht="22.5" customHeight="1" x14ac:dyDescent="0.25"/>
    <row r="209" ht="22.5" customHeight="1" x14ac:dyDescent="0.25"/>
    <row r="210" ht="22.5" customHeight="1" x14ac:dyDescent="0.25"/>
    <row r="211" ht="22.5" customHeight="1" x14ac:dyDescent="0.25"/>
    <row r="212" ht="22.5" customHeight="1" x14ac:dyDescent="0.25"/>
    <row r="213" ht="22.5" customHeight="1" x14ac:dyDescent="0.25"/>
    <row r="214" ht="22.5" customHeight="1" x14ac:dyDescent="0.25"/>
    <row r="215" ht="22.5" customHeight="1" x14ac:dyDescent="0.25"/>
    <row r="216" ht="22.5" customHeight="1" x14ac:dyDescent="0.25"/>
    <row r="217" ht="22.5" customHeight="1" x14ac:dyDescent="0.25"/>
    <row r="218" ht="22.5" customHeight="1" x14ac:dyDescent="0.25"/>
    <row r="219" ht="22.5" customHeight="1" x14ac:dyDescent="0.25"/>
    <row r="220" ht="22.5" customHeight="1" x14ac:dyDescent="0.25"/>
    <row r="221" ht="22.5" customHeight="1" x14ac:dyDescent="0.25"/>
    <row r="222" ht="22.5" customHeight="1" x14ac:dyDescent="0.25"/>
    <row r="223" ht="22.5" customHeight="1" x14ac:dyDescent="0.25"/>
    <row r="224" ht="22.5" customHeight="1" x14ac:dyDescent="0.25"/>
    <row r="225" ht="22.5" customHeight="1" x14ac:dyDescent="0.25"/>
    <row r="226" ht="22.5" customHeight="1" x14ac:dyDescent="0.25"/>
    <row r="227" ht="22.5" customHeight="1" x14ac:dyDescent="0.25"/>
    <row r="228" ht="22.5" customHeight="1" x14ac:dyDescent="0.25"/>
    <row r="229" ht="22.5" customHeight="1" x14ac:dyDescent="0.25"/>
    <row r="230" ht="22.5" customHeight="1" x14ac:dyDescent="0.25"/>
    <row r="231" ht="22.5" customHeight="1" x14ac:dyDescent="0.25"/>
    <row r="232" ht="22.5" customHeight="1" x14ac:dyDescent="0.25"/>
    <row r="233" ht="22.5" customHeight="1" x14ac:dyDescent="0.25"/>
    <row r="234" ht="22.5" customHeight="1" x14ac:dyDescent="0.25"/>
    <row r="235" ht="22.5" customHeight="1" x14ac:dyDescent="0.25"/>
    <row r="236" ht="22.5" customHeight="1" x14ac:dyDescent="0.25"/>
    <row r="237" ht="22.5" customHeight="1" x14ac:dyDescent="0.25"/>
    <row r="238" ht="22.5" customHeight="1" x14ac:dyDescent="0.25"/>
    <row r="239" ht="22.5" customHeight="1" x14ac:dyDescent="0.25"/>
    <row r="240" ht="22.5" customHeight="1" x14ac:dyDescent="0.25"/>
    <row r="241" ht="22.5" customHeight="1" x14ac:dyDescent="0.25"/>
    <row r="242" ht="22.5" customHeight="1" x14ac:dyDescent="0.25"/>
    <row r="243" ht="22.5" customHeight="1" x14ac:dyDescent="0.25"/>
    <row r="244" ht="22.5" customHeight="1" x14ac:dyDescent="0.25"/>
    <row r="245" ht="22.5" customHeight="1" x14ac:dyDescent="0.25"/>
    <row r="246" ht="22.5" customHeight="1" x14ac:dyDescent="0.25"/>
    <row r="247" ht="22.5" customHeight="1" x14ac:dyDescent="0.25"/>
    <row r="248" ht="22.5" customHeight="1" x14ac:dyDescent="0.25"/>
    <row r="249" ht="22.5" customHeight="1" x14ac:dyDescent="0.25"/>
    <row r="250" ht="22.5" customHeight="1" x14ac:dyDescent="0.25"/>
    <row r="251" ht="22.5" customHeight="1" x14ac:dyDescent="0.25"/>
    <row r="252" ht="22.5" customHeight="1" x14ac:dyDescent="0.25"/>
    <row r="253" ht="22.5" customHeight="1" x14ac:dyDescent="0.25"/>
    <row r="254" ht="22.5" customHeight="1" x14ac:dyDescent="0.25"/>
    <row r="255" ht="22.5" customHeight="1" x14ac:dyDescent="0.25"/>
    <row r="256" ht="22.5" customHeight="1" x14ac:dyDescent="0.25"/>
  </sheetData>
  <sheetProtection sheet="1" objects="1" scenarios="1"/>
  <sortState xmlns:xlrd2="http://schemas.microsoft.com/office/spreadsheetml/2017/richdata2" ref="W5:W304">
    <sortCondition ref="W5:W304"/>
  </sortState>
  <mergeCells count="87">
    <mergeCell ref="T2:U3"/>
    <mergeCell ref="W1:W2"/>
    <mergeCell ref="X1:X2"/>
    <mergeCell ref="V1:V2"/>
    <mergeCell ref="P37:T38"/>
    <mergeCell ref="U37:U38"/>
    <mergeCell ref="P33:T36"/>
    <mergeCell ref="U33:U36"/>
    <mergeCell ref="P27:T27"/>
    <mergeCell ref="U31:U32"/>
    <mergeCell ref="P30:T30"/>
    <mergeCell ref="P31:T32"/>
    <mergeCell ref="U25:U26"/>
    <mergeCell ref="P25:T26"/>
    <mergeCell ref="U21:U22"/>
    <mergeCell ref="U16:U17"/>
    <mergeCell ref="I26:M26"/>
    <mergeCell ref="I27:M28"/>
    <mergeCell ref="N27:N28"/>
    <mergeCell ref="N24:N25"/>
    <mergeCell ref="U23:U24"/>
    <mergeCell ref="I23:M23"/>
    <mergeCell ref="I24:M25"/>
    <mergeCell ref="O24:O25"/>
    <mergeCell ref="P23:T24"/>
    <mergeCell ref="P12:R12"/>
    <mergeCell ref="P13:R13"/>
    <mergeCell ref="I10:M11"/>
    <mergeCell ref="N10:N11"/>
    <mergeCell ref="I14:M14"/>
    <mergeCell ref="P7:R7"/>
    <mergeCell ref="P8:R8"/>
    <mergeCell ref="P9:R9"/>
    <mergeCell ref="P10:R10"/>
    <mergeCell ref="P11:R11"/>
    <mergeCell ref="P18:T18"/>
    <mergeCell ref="P21:T22"/>
    <mergeCell ref="P16:T17"/>
    <mergeCell ref="I17:K18"/>
    <mergeCell ref="I19:M20"/>
    <mergeCell ref="N19:N20"/>
    <mergeCell ref="L17:M18"/>
    <mergeCell ref="I15:M16"/>
    <mergeCell ref="N15:N16"/>
    <mergeCell ref="N17:N18"/>
    <mergeCell ref="M38:N38"/>
    <mergeCell ref="I38:L38"/>
    <mergeCell ref="B36:F36"/>
    <mergeCell ref="B37:F38"/>
    <mergeCell ref="G37:G38"/>
    <mergeCell ref="I37:N37"/>
    <mergeCell ref="N30:N31"/>
    <mergeCell ref="B31:F31"/>
    <mergeCell ref="I34:I35"/>
    <mergeCell ref="J34:J35"/>
    <mergeCell ref="K34:K35"/>
    <mergeCell ref="L34:L35"/>
    <mergeCell ref="M34:M35"/>
    <mergeCell ref="N34:N35"/>
    <mergeCell ref="G29:G30"/>
    <mergeCell ref="B34:F35"/>
    <mergeCell ref="G34:G35"/>
    <mergeCell ref="B29:F30"/>
    <mergeCell ref="I29:M29"/>
    <mergeCell ref="I30:M31"/>
    <mergeCell ref="B19:F19"/>
    <mergeCell ref="B10:F12"/>
    <mergeCell ref="B16:F18"/>
    <mergeCell ref="G10:G12"/>
    <mergeCell ref="B13:F13"/>
    <mergeCell ref="G16:G18"/>
    <mergeCell ref="P39:T39"/>
    <mergeCell ref="I6:M6"/>
    <mergeCell ref="B2:C2"/>
    <mergeCell ref="D2:G2"/>
    <mergeCell ref="B6:F6"/>
    <mergeCell ref="B7:F7"/>
    <mergeCell ref="B8:E9"/>
    <mergeCell ref="B27:F28"/>
    <mergeCell ref="G27:G28"/>
    <mergeCell ref="I7:M8"/>
    <mergeCell ref="N7:N8"/>
    <mergeCell ref="I9:M9"/>
    <mergeCell ref="B20:F22"/>
    <mergeCell ref="G20:G22"/>
    <mergeCell ref="B25:F26"/>
    <mergeCell ref="G25:G26"/>
  </mergeCells>
  <conditionalFormatting sqref="G10">
    <cfRule type="cellIs" dxfId="35" priority="13" operator="lessThan">
      <formula>0</formula>
    </cfRule>
    <cfRule type="cellIs" dxfId="34" priority="14" operator="greaterThan">
      <formula>0</formula>
    </cfRule>
  </conditionalFormatting>
  <conditionalFormatting sqref="G13 I36:N36">
    <cfRule type="cellIs" dxfId="33" priority="47" operator="lessThan">
      <formula>0</formula>
    </cfRule>
    <cfRule type="cellIs" dxfId="32" priority="48" operator="greaterThan">
      <formula>0</formula>
    </cfRule>
  </conditionalFormatting>
  <conditionalFormatting sqref="G20">
    <cfRule type="cellIs" dxfId="31" priority="45" operator="lessThan">
      <formula>0</formula>
    </cfRule>
    <cfRule type="cellIs" dxfId="30" priority="46" operator="greaterThan">
      <formula>0</formula>
    </cfRule>
  </conditionalFormatting>
  <conditionalFormatting sqref="G25 G27 G29">
    <cfRule type="cellIs" dxfId="29" priority="21" operator="lessThan">
      <formula>0</formula>
    </cfRule>
    <cfRule type="cellIs" dxfId="28" priority="22" operator="greaterThan">
      <formula>0</formula>
    </cfRule>
  </conditionalFormatting>
  <conditionalFormatting sqref="G31">
    <cfRule type="cellIs" dxfId="27" priority="43" operator="lessThan">
      <formula>0</formula>
    </cfRule>
    <cfRule type="cellIs" dxfId="26" priority="44" operator="greaterThan">
      <formula>0</formula>
    </cfRule>
  </conditionalFormatting>
  <conditionalFormatting sqref="G37">
    <cfRule type="cellIs" dxfId="25" priority="41" operator="lessThan">
      <formula>0</formula>
    </cfRule>
    <cfRule type="cellIs" dxfId="24" priority="42" operator="greaterThan">
      <formula>0</formula>
    </cfRule>
  </conditionalFormatting>
  <conditionalFormatting sqref="M38">
    <cfRule type="cellIs" dxfId="23" priority="1" operator="lessThan">
      <formula>0</formula>
    </cfRule>
    <cfRule type="cellIs" dxfId="22" priority="2" operator="greaterThan">
      <formula>0</formula>
    </cfRule>
  </conditionalFormatting>
  <conditionalFormatting sqref="N10">
    <cfRule type="cellIs" dxfId="21" priority="39" operator="lessThan">
      <formula>0</formula>
    </cfRule>
    <cfRule type="cellIs" dxfId="20" priority="40" operator="greaterThan">
      <formula>0</formula>
    </cfRule>
  </conditionalFormatting>
  <conditionalFormatting sqref="N19">
    <cfRule type="cellIs" dxfId="19" priority="5" operator="lessThan">
      <formula>0</formula>
    </cfRule>
    <cfRule type="cellIs" dxfId="18" priority="6" operator="greaterThan">
      <formula>0</formula>
    </cfRule>
  </conditionalFormatting>
  <conditionalFormatting sqref="N30">
    <cfRule type="cellIs" dxfId="17" priority="35" operator="lessThan">
      <formula>0</formula>
    </cfRule>
    <cfRule type="cellIs" dxfId="16" priority="36" operator="greaterThan">
      <formula>0</formula>
    </cfRule>
  </conditionalFormatting>
  <conditionalFormatting sqref="U7:U14">
    <cfRule type="cellIs" dxfId="15" priority="15" operator="lessThan">
      <formula>0</formula>
    </cfRule>
    <cfRule type="cellIs" dxfId="14" priority="16" operator="greaterThan">
      <formula>0</formula>
    </cfRule>
  </conditionalFormatting>
  <conditionalFormatting sqref="U16">
    <cfRule type="cellIs" dxfId="13" priority="33" operator="lessThan">
      <formula>0</formula>
    </cfRule>
    <cfRule type="cellIs" dxfId="12" priority="34" operator="greaterThan">
      <formula>0</formula>
    </cfRule>
  </conditionalFormatting>
  <conditionalFormatting sqref="U18">
    <cfRule type="cellIs" dxfId="11" priority="29" operator="lessThan">
      <formula>0</formula>
    </cfRule>
    <cfRule type="cellIs" dxfId="10" priority="30" operator="greaterThan">
      <formula>0</formula>
    </cfRule>
  </conditionalFormatting>
  <conditionalFormatting sqref="U23 U25">
    <cfRule type="cellIs" dxfId="9" priority="25" operator="lessThan">
      <formula>0</formula>
    </cfRule>
    <cfRule type="cellIs" dxfId="8" priority="26" operator="greaterThan">
      <formula>0</formula>
    </cfRule>
  </conditionalFormatting>
  <conditionalFormatting sqref="U27">
    <cfRule type="cellIs" dxfId="7" priority="27" operator="lessThan">
      <formula>0</formula>
    </cfRule>
    <cfRule type="cellIs" dxfId="6" priority="28" operator="greaterThan">
      <formula>0</formula>
    </cfRule>
  </conditionalFormatting>
  <conditionalFormatting sqref="U37">
    <cfRule type="cellIs" dxfId="5" priority="19" operator="lessThan">
      <formula>0</formula>
    </cfRule>
    <cfRule type="cellIs" dxfId="4" priority="20" operator="greaterThan">
      <formula>0</formula>
    </cfRule>
  </conditionalFormatting>
  <hyperlinks>
    <hyperlink ref="W1" location="'Table des matières'!A1" display="'Table des matières'!A1" xr:uid="{DA2A51E6-5E15-4B1C-BACB-46CBF4677D94}"/>
    <hyperlink ref="X1:X2" location="'Données par commune'!A1" display="Suivant →" xr:uid="{882FD33F-64B3-4913-80D4-BAA3F4257D23}"/>
    <hyperlink ref="V1:V2" location="'Synthèse par commune'!A1" display="← Précédent" xr:uid="{00F1F0C1-B85E-48BD-B4A6-F4FBD30EEEE7}"/>
  </hyperlinks>
  <printOptions horizontalCentered="1" verticalCentered="1"/>
  <pageMargins left="0.70866141732283472" right="0.70866141732283472" top="0.74803149606299213" bottom="0.74803149606299213" header="0.31496062992125984" footer="0.31496062992125984"/>
  <pageSetup paperSize="8" scale="73"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CEF1620-E0B7-4BCA-ACD6-0F62DAF722CC}">
          <x14:formula1>
            <xm:f>Paramètres!$A$23:$A$316</xm:f>
          </x14:formula1>
          <xm:sqref>D2:G2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D765B-F4BB-43AE-8D15-7D3B8983C76D}">
  <sheetPr>
    <tabColor theme="0" tint="-4.9989318521683403E-2"/>
    <pageSetUpPr fitToPage="1"/>
  </sheetPr>
  <dimension ref="B1:M43"/>
  <sheetViews>
    <sheetView zoomScale="90" zoomScaleNormal="90" workbookViewId="0"/>
  </sheetViews>
  <sheetFormatPr baseColWidth="10" defaultRowHeight="15" outlineLevelRow="1" x14ac:dyDescent="0.25"/>
  <cols>
    <col min="1" max="1" width="5.7109375" style="4" customWidth="1"/>
    <col min="2" max="2" width="18.5703125" style="4" customWidth="1"/>
    <col min="3" max="3" width="20" style="4" customWidth="1"/>
    <col min="4" max="4" width="18.7109375" style="4" customWidth="1"/>
    <col min="5" max="5" width="5.7109375" style="4" customWidth="1"/>
    <col min="6" max="6" width="18.5703125" style="4" customWidth="1"/>
    <col min="7" max="7" width="20" style="4" customWidth="1"/>
    <col min="8" max="8" width="18.7109375" style="4" customWidth="1"/>
    <col min="9" max="9" width="7.28515625" style="4" customWidth="1"/>
    <col min="10" max="16384" width="11.42578125" style="4"/>
  </cols>
  <sheetData>
    <row r="1" spans="2:13" ht="30" customHeight="1" thickTop="1" thickBot="1" x14ac:dyDescent="0.3">
      <c r="B1" s="655" t="str">
        <f>_xlfn.CONCAT("Données de référence par commune (",Paramètres!O5,")")</f>
        <v>Données de référence par commune (2025)</v>
      </c>
      <c r="C1" s="656"/>
      <c r="D1" s="656"/>
      <c r="E1" s="656"/>
      <c r="F1" s="656"/>
      <c r="G1" s="656"/>
      <c r="H1" s="657"/>
      <c r="J1" s="420" t="s">
        <v>441</v>
      </c>
      <c r="K1" s="97" t="s">
        <v>442</v>
      </c>
      <c r="L1" s="340"/>
      <c r="M1" s="97"/>
    </row>
    <row r="2" spans="2:13" ht="15" customHeight="1" thickTop="1" x14ac:dyDescent="0.2">
      <c r="B2" s="165"/>
      <c r="C2" s="168"/>
      <c r="E2" s="167"/>
      <c r="F2" s="167" t="s">
        <v>485</v>
      </c>
      <c r="G2" s="167"/>
      <c r="J2" s="420"/>
      <c r="L2" s="342"/>
    </row>
    <row r="3" spans="2:13" ht="22.5" customHeight="1" x14ac:dyDescent="0.25">
      <c r="B3" s="168" t="s">
        <v>393</v>
      </c>
      <c r="C3" s="636"/>
      <c r="D3" s="637"/>
      <c r="E3" s="711"/>
      <c r="F3" s="169" t="e">
        <f>VLOOKUP(C3,Paramètres!A23:B316,2,FALSE)</f>
        <v>#N/A</v>
      </c>
    </row>
    <row r="4" spans="2:13" ht="15" customHeight="1" x14ac:dyDescent="0.2">
      <c r="B4" s="165"/>
      <c r="C4" s="165"/>
      <c r="D4" s="174" t="s">
        <v>490</v>
      </c>
      <c r="E4" s="174"/>
      <c r="F4" s="6"/>
    </row>
    <row r="5" spans="2:13" ht="22.5" customHeight="1" x14ac:dyDescent="0.25">
      <c r="B5" s="708" t="s">
        <v>540</v>
      </c>
      <c r="C5" s="709"/>
      <c r="D5" s="710"/>
      <c r="E5" s="171"/>
      <c r="F5" s="704" t="s">
        <v>541</v>
      </c>
      <c r="G5" s="704"/>
      <c r="H5" s="705"/>
      <c r="I5" s="168"/>
    </row>
    <row r="6" spans="2:13" ht="22.5" customHeight="1" outlineLevel="1" x14ac:dyDescent="0.2">
      <c r="B6" s="436" t="s">
        <v>3</v>
      </c>
      <c r="C6" s="437"/>
      <c r="D6" s="170" t="e">
        <f>VLOOKUP($F$3,Données!$A$8:$W$301,6)</f>
        <v>#N/A</v>
      </c>
      <c r="E6" s="174"/>
      <c r="F6" s="436" t="s">
        <v>29</v>
      </c>
      <c r="G6" s="341"/>
      <c r="H6" s="344" t="e">
        <f>VLOOKUP($F$3,Données!A8:AE301,3)</f>
        <v>#N/A</v>
      </c>
      <c r="I6" s="171"/>
    </row>
    <row r="7" spans="2:13" ht="22.5" customHeight="1" outlineLevel="1" x14ac:dyDescent="0.2">
      <c r="B7" s="436" t="s">
        <v>4</v>
      </c>
      <c r="C7" s="438"/>
      <c r="D7" s="170" t="e">
        <f>VLOOKUP($F$3,Données!$A$8:$W$301,7)</f>
        <v>#N/A</v>
      </c>
      <c r="E7" s="174"/>
      <c r="F7" s="436" t="s">
        <v>30</v>
      </c>
      <c r="G7" s="341"/>
      <c r="H7" s="344" t="e">
        <f>VLOOKUP($F$3,Données!A8:AE301,24)</f>
        <v>#N/A</v>
      </c>
      <c r="I7" s="171"/>
    </row>
    <row r="8" spans="2:13" ht="22.5" customHeight="1" outlineLevel="1" x14ac:dyDescent="0.2">
      <c r="B8" s="436" t="s">
        <v>5</v>
      </c>
      <c r="C8" s="438"/>
      <c r="D8" s="170" t="e">
        <f>VLOOKUP($F$3,Données!$A$8:$W$301,8)</f>
        <v>#N/A</v>
      </c>
      <c r="E8" s="174"/>
      <c r="F8" s="436" t="s">
        <v>414</v>
      </c>
      <c r="G8" s="341"/>
      <c r="H8" s="344" t="e">
        <f>VLOOKUP($F$3,Données!A8:AE301,25)</f>
        <v>#N/A</v>
      </c>
      <c r="I8" s="171"/>
    </row>
    <row r="9" spans="2:13" ht="22.5" customHeight="1" outlineLevel="1" x14ac:dyDescent="0.2">
      <c r="B9" s="436" t="s">
        <v>6</v>
      </c>
      <c r="C9" s="438"/>
      <c r="D9" s="170" t="e">
        <f>VLOOKUP($F$3,Données!$A$8:$W$301,9)</f>
        <v>#N/A</v>
      </c>
      <c r="E9" s="174"/>
      <c r="F9" s="436" t="s">
        <v>417</v>
      </c>
      <c r="G9" s="341"/>
      <c r="H9" s="363" t="e">
        <f>VLOOKUP($F$3,Données!A8:AE301,26)</f>
        <v>#N/A</v>
      </c>
      <c r="I9" s="171"/>
    </row>
    <row r="10" spans="2:13" ht="22.5" customHeight="1" outlineLevel="1" x14ac:dyDescent="0.2">
      <c r="B10" s="436" t="s">
        <v>7</v>
      </c>
      <c r="C10" s="438"/>
      <c r="D10" s="170" t="e">
        <f>VLOOKUP($F$3,Données!$A$8:$W$301,10)</f>
        <v>#N/A</v>
      </c>
      <c r="E10" s="174"/>
      <c r="F10" s="436" t="s">
        <v>551</v>
      </c>
      <c r="G10" s="341"/>
      <c r="H10" s="344" t="e">
        <f>VLOOKUP($F$3,Données!A8:AE301,27)</f>
        <v>#N/A</v>
      </c>
      <c r="I10" s="171"/>
    </row>
    <row r="11" spans="2:13" ht="22.5" customHeight="1" outlineLevel="1" x14ac:dyDescent="0.2">
      <c r="B11" s="436" t="s">
        <v>54</v>
      </c>
      <c r="C11" s="438"/>
      <c r="D11" s="170" t="e">
        <f>VLOOKUP($F$3,Données!$A$8:$W$301,11)</f>
        <v>#N/A</v>
      </c>
      <c r="E11" s="174"/>
      <c r="F11" s="436" t="s">
        <v>546</v>
      </c>
      <c r="G11" s="341"/>
      <c r="H11" s="344" t="e">
        <f>VLOOKUP($F$3,Données!A8:AE301,28)</f>
        <v>#N/A</v>
      </c>
      <c r="I11" s="171"/>
    </row>
    <row r="12" spans="2:13" ht="22.5" customHeight="1" outlineLevel="1" x14ac:dyDescent="0.2">
      <c r="B12" s="436" t="s">
        <v>44</v>
      </c>
      <c r="C12" s="438"/>
      <c r="D12" s="170" t="e">
        <f>VLOOKUP($F$3,Données!$A$8:$W$301,12)</f>
        <v>#N/A</v>
      </c>
      <c r="E12" s="174"/>
      <c r="F12" s="436" t="str">
        <f>_xlfn.CONCAT("Déficit du trafic urbain (budget ",Paramètres!O5,")")</f>
        <v>Déficit du trafic urbain (budget 2025)</v>
      </c>
      <c r="G12" s="343"/>
      <c r="H12" s="344" t="e">
        <f>VLOOKUP($F$3,Données!A8:AE301,29)</f>
        <v>#N/A</v>
      </c>
      <c r="I12" s="171"/>
    </row>
    <row r="13" spans="2:13" ht="22.5" customHeight="1" outlineLevel="1" x14ac:dyDescent="0.2">
      <c r="B13" s="436" t="s">
        <v>548</v>
      </c>
      <c r="C13" s="438"/>
      <c r="D13" s="170" t="e">
        <f>VLOOKUP($F$3,Données!$A$8:$W$301,13)</f>
        <v>#N/A</v>
      </c>
      <c r="E13" s="174"/>
      <c r="F13" s="436" t="str">
        <f>_xlfn.CONCAT("Déficit du trafic urbain (solde ",Paramètres!O5-1,")")</f>
        <v>Déficit du trafic urbain (solde 2024)</v>
      </c>
      <c r="G13" s="343"/>
      <c r="H13" s="344" t="e">
        <f>VLOOKUP($F$3,Données!A8:AE301,30)</f>
        <v>#N/A</v>
      </c>
      <c r="I13" s="171"/>
    </row>
    <row r="14" spans="2:13" ht="22.5" customHeight="1" outlineLevel="1" x14ac:dyDescent="0.2">
      <c r="B14" s="436" t="s">
        <v>547</v>
      </c>
      <c r="C14" s="438"/>
      <c r="D14" s="170" t="e">
        <f>VLOOKUP($F$3,Données!$A$8:$W$301,14)</f>
        <v>#N/A</v>
      </c>
      <c r="E14" s="174"/>
      <c r="F14" s="435" t="s">
        <v>24</v>
      </c>
      <c r="G14" s="706" t="e">
        <f>IF(VLOOKUP($F$3,Données!A8:AE301,31)=1,"Police (inter-)communale",IF(VLOOKUP($F$3,Données!A8:AE301,31)=0,"Police cantonale","Changement en cours d'année"))</f>
        <v>#N/A</v>
      </c>
      <c r="H14" s="707"/>
    </row>
    <row r="15" spans="2:13" ht="22.5" customHeight="1" outlineLevel="1" x14ac:dyDescent="0.2">
      <c r="B15" s="436" t="s">
        <v>9</v>
      </c>
      <c r="C15" s="438"/>
      <c r="D15" s="170" t="e">
        <f>VLOOKUP($F$3,Données!$A$8:$W$301,15)</f>
        <v>#N/A</v>
      </c>
      <c r="E15" s="174"/>
    </row>
    <row r="16" spans="2:13" ht="22.5" customHeight="1" outlineLevel="1" x14ac:dyDescent="0.2">
      <c r="B16" s="436" t="s">
        <v>8</v>
      </c>
      <c r="C16" s="438"/>
      <c r="D16" s="170" t="e">
        <f>VLOOKUP($F$3,Données!$A$8:$W$301,16)</f>
        <v>#N/A</v>
      </c>
      <c r="E16" s="174"/>
      <c r="F16" s="705" t="s">
        <v>553</v>
      </c>
      <c r="G16" s="705"/>
      <c r="H16" s="705"/>
    </row>
    <row r="17" spans="2:8" ht="22.5" customHeight="1" outlineLevel="1" x14ac:dyDescent="0.2">
      <c r="B17" s="436" t="s">
        <v>545</v>
      </c>
      <c r="C17" s="438"/>
      <c r="D17" s="170" t="e">
        <f>VLOOKUP($F$3,Données!$A$8:$W$301,17)</f>
        <v>#N/A</v>
      </c>
      <c r="E17" s="174"/>
      <c r="F17" s="703" t="s">
        <v>552</v>
      </c>
      <c r="G17" s="703"/>
      <c r="H17" s="347" t="e">
        <f>VLOOKUP($F$3,Données!A8:AE301,4)</f>
        <v>#N/A</v>
      </c>
    </row>
    <row r="18" spans="2:8" ht="22.5" customHeight="1" outlineLevel="1" x14ac:dyDescent="0.2">
      <c r="B18" s="436" t="s">
        <v>35</v>
      </c>
      <c r="C18" s="438"/>
      <c r="D18" s="170" t="e">
        <f>VLOOKUP($F$3,Données!$A$8:$W$301,18)</f>
        <v>#N/A</v>
      </c>
      <c r="E18" s="174"/>
      <c r="F18" s="703" t="s">
        <v>56</v>
      </c>
      <c r="G18" s="703"/>
      <c r="H18" s="347">
        <f>RFS!T4</f>
        <v>67.396151335096249</v>
      </c>
    </row>
    <row r="19" spans="2:8" ht="22.5" customHeight="1" outlineLevel="1" x14ac:dyDescent="0.2">
      <c r="B19" s="436" t="s">
        <v>38</v>
      </c>
      <c r="C19" s="438"/>
      <c r="D19" s="170" t="e">
        <f>VLOOKUP($F$3,Données!$A$8:$W$301,19)</f>
        <v>#N/A</v>
      </c>
      <c r="E19" s="174"/>
      <c r="F19" s="703" t="s">
        <v>542</v>
      </c>
      <c r="G19" s="703"/>
      <c r="H19" s="347" t="e">
        <f>VLOOKUP($F$3,Données!A8:AE301,5)</f>
        <v>#N/A</v>
      </c>
    </row>
    <row r="20" spans="2:8" ht="22.5" customHeight="1" outlineLevel="1" x14ac:dyDescent="0.2">
      <c r="B20" s="436" t="s">
        <v>39</v>
      </c>
      <c r="C20" s="437"/>
      <c r="D20" s="170" t="e">
        <f>VLOOKUP($F$3,Données!$A$8:$W$301,20)</f>
        <v>#N/A</v>
      </c>
      <c r="E20" s="174"/>
    </row>
    <row r="21" spans="2:8" ht="22.5" customHeight="1" outlineLevel="1" x14ac:dyDescent="0.2">
      <c r="B21" s="436" t="s">
        <v>40</v>
      </c>
      <c r="C21" s="437"/>
      <c r="D21" s="170" t="e">
        <f>VLOOKUP($F$3,Données!$A$8:$W$301,21)</f>
        <v>#N/A</v>
      </c>
      <c r="E21" s="174"/>
      <c r="F21" s="705" t="s">
        <v>550</v>
      </c>
      <c r="G21" s="705"/>
      <c r="H21" s="705"/>
    </row>
    <row r="22" spans="2:8" ht="21.75" customHeight="1" x14ac:dyDescent="0.25">
      <c r="B22" s="436" t="s">
        <v>41</v>
      </c>
      <c r="C22" s="437"/>
      <c r="D22" s="170" t="e">
        <f>VLOOKUP($F$3,Données!$A$8:$W$301,22)</f>
        <v>#N/A</v>
      </c>
      <c r="E22" s="171"/>
      <c r="F22" s="703" t="s">
        <v>543</v>
      </c>
      <c r="G22" s="703"/>
      <c r="H22" s="170" t="e">
        <f>VLOOKUP(F3,Ressources!A8:F301,6,FALSE)</f>
        <v>#N/A</v>
      </c>
    </row>
    <row r="23" spans="2:8" ht="22.5" customHeight="1" x14ac:dyDescent="0.25">
      <c r="B23" s="439" t="s">
        <v>549</v>
      </c>
      <c r="C23" s="345"/>
      <c r="D23" s="346" t="e">
        <f>VLOOKUP($F$3,Données!$A$8:$W$301,23)</f>
        <v>#N/A</v>
      </c>
      <c r="E23" s="171"/>
      <c r="F23" s="703" t="s">
        <v>557</v>
      </c>
      <c r="G23" s="703"/>
      <c r="H23" s="170">
        <f>Ressources!F6</f>
        <v>3428.3920041538854</v>
      </c>
    </row>
    <row r="24" spans="2:8" ht="22.5" customHeight="1" outlineLevel="1" x14ac:dyDescent="0.25">
      <c r="E24" s="171"/>
    </row>
    <row r="25" spans="2:8" ht="22.5" customHeight="1" outlineLevel="1" x14ac:dyDescent="0.25">
      <c r="E25" s="171"/>
    </row>
    <row r="26" spans="2:8" ht="22.5" customHeight="1" outlineLevel="1" x14ac:dyDescent="0.25">
      <c r="E26" s="171"/>
    </row>
    <row r="27" spans="2:8" ht="11.25" customHeight="1" x14ac:dyDescent="0.25">
      <c r="E27" s="171"/>
    </row>
    <row r="28" spans="2:8" ht="22.5" customHeight="1" x14ac:dyDescent="0.25">
      <c r="E28" s="171"/>
    </row>
    <row r="29" spans="2:8" ht="22.5" customHeight="1" outlineLevel="1" x14ac:dyDescent="0.25">
      <c r="E29" s="171"/>
    </row>
    <row r="30" spans="2:8" ht="22.5" customHeight="1" outlineLevel="1" x14ac:dyDescent="0.25">
      <c r="E30" s="171"/>
    </row>
    <row r="31" spans="2:8" ht="11.25" customHeight="1" x14ac:dyDescent="0.25">
      <c r="E31" s="171"/>
    </row>
    <row r="32" spans="2:8" ht="22.5" customHeight="1" x14ac:dyDescent="0.25">
      <c r="E32" s="171"/>
    </row>
    <row r="33" spans="5:5" ht="27" customHeight="1" x14ac:dyDescent="0.25">
      <c r="E33" s="171"/>
    </row>
    <row r="34" spans="5:5" ht="27" customHeight="1" x14ac:dyDescent="0.25">
      <c r="E34" s="171"/>
    </row>
    <row r="35" spans="5:5" ht="22.5" customHeight="1" x14ac:dyDescent="0.25">
      <c r="E35" s="172"/>
    </row>
    <row r="36" spans="5:5" ht="11.25" customHeight="1" x14ac:dyDescent="0.25">
      <c r="E36" s="172"/>
    </row>
    <row r="37" spans="5:5" ht="22.5" customHeight="1" x14ac:dyDescent="0.25">
      <c r="E37" s="172"/>
    </row>
    <row r="38" spans="5:5" ht="11.25" customHeight="1" x14ac:dyDescent="0.25">
      <c r="E38" s="172"/>
    </row>
    <row r="39" spans="5:5" ht="22.5" customHeight="1" x14ac:dyDescent="0.25">
      <c r="E39" s="172"/>
    </row>
    <row r="40" spans="5:5" ht="22.5" customHeight="1" x14ac:dyDescent="0.25">
      <c r="E40" s="172"/>
    </row>
    <row r="41" spans="5:5" ht="22.5" customHeight="1" x14ac:dyDescent="0.25">
      <c r="E41" s="172"/>
    </row>
    <row r="42" spans="5:5" ht="11.25" customHeight="1" x14ac:dyDescent="0.25">
      <c r="E42" s="172"/>
    </row>
    <row r="43" spans="5:5" ht="22.5" customHeight="1" x14ac:dyDescent="0.25">
      <c r="E43" s="173"/>
    </row>
  </sheetData>
  <sheetProtection sheet="1" objects="1" scenarios="1"/>
  <mergeCells count="12">
    <mergeCell ref="B1:H1"/>
    <mergeCell ref="B5:D5"/>
    <mergeCell ref="C3:E3"/>
    <mergeCell ref="F16:H16"/>
    <mergeCell ref="F17:G17"/>
    <mergeCell ref="F18:G18"/>
    <mergeCell ref="F19:G19"/>
    <mergeCell ref="F22:G22"/>
    <mergeCell ref="F23:G23"/>
    <mergeCell ref="F5:H5"/>
    <mergeCell ref="F21:H21"/>
    <mergeCell ref="G14:H14"/>
  </mergeCells>
  <hyperlinks>
    <hyperlink ref="K1" location="'Table des matières'!A1" display="'Table des matières'!A1" xr:uid="{DDD1807D-A38D-4ECB-AD62-186C8B6BAD9F}"/>
    <hyperlink ref="J1:J2" location="'Synthèse par commune'!A1" display="← Précédent" xr:uid="{45CA2272-7AB1-4578-BB99-8A8EC152B2C1}"/>
    <hyperlink ref="J1" location="'Détail par commune'!A1" display="← Précédent" xr:uid="{5AEB37F4-D530-4333-83D1-5491305F38A2}"/>
  </hyperlinks>
  <printOptions horizontalCentered="1"/>
  <pageMargins left="0.70866141732283472" right="0.70866141732283472" top="0.74803149606299213" bottom="0.74803149606299213" header="0.31496062992125984" footer="0.31496062992125984"/>
  <pageSetup paperSize="9" scale="98"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82B9DAE-A539-4D6E-B86E-CE2D30BB30E8}">
          <x14:formula1>
            <xm:f>Paramètres!$A$23:$A$316</xm:f>
          </x14:formula1>
          <xm:sqref>C3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DCAD6-9C7D-47D6-A776-ADB6BC42D16A}">
  <sheetPr>
    <tabColor rgb="FFCCCCFF"/>
    <pageSetUpPr autoPageBreaks="0"/>
  </sheetPr>
  <dimension ref="A1:Z309"/>
  <sheetViews>
    <sheetView zoomScale="90" zoomScaleNormal="90" workbookViewId="0">
      <pane ySplit="7" topLeftCell="A8" activePane="bottomLeft" state="frozen"/>
      <selection pane="bottomLeft"/>
    </sheetView>
  </sheetViews>
  <sheetFormatPr baseColWidth="10" defaultRowHeight="15" x14ac:dyDescent="0.25"/>
  <cols>
    <col min="1" max="1" width="7.140625" style="1" customWidth="1"/>
    <col min="2" max="2" width="24.7109375" style="1" bestFit="1" customWidth="1"/>
    <col min="3" max="11" width="14.42578125" style="1" customWidth="1"/>
    <col min="12" max="12" width="12.5703125" style="1" customWidth="1"/>
    <col min="13" max="14" width="14.42578125" style="1" customWidth="1"/>
    <col min="15" max="19" width="4.28515625" style="1" customWidth="1"/>
    <col min="20" max="20" width="17.140625" style="1" customWidth="1"/>
    <col min="21" max="22" width="13.7109375" style="1" customWidth="1"/>
    <col min="23" max="23" width="11.85546875" style="1" customWidth="1"/>
    <col min="24" max="16384" width="11.42578125" style="1"/>
  </cols>
  <sheetData>
    <row r="1" spans="1:26" s="4" customFormat="1" ht="26.25" x14ac:dyDescent="0.25">
      <c r="A1" s="8" t="s">
        <v>422</v>
      </c>
      <c r="C1" s="95" t="s">
        <v>441</v>
      </c>
      <c r="D1" s="97" t="s">
        <v>442</v>
      </c>
      <c r="E1" s="97" t="s">
        <v>497</v>
      </c>
      <c r="F1" s="97" t="s">
        <v>486</v>
      </c>
    </row>
    <row r="2" spans="1:26" s="4" customFormat="1" ht="15" customHeight="1" x14ac:dyDescent="0.25">
      <c r="A2" s="48" t="s">
        <v>564</v>
      </c>
    </row>
    <row r="3" spans="1:26" s="4" customFormat="1" ht="15" customHeight="1" x14ac:dyDescent="0.25">
      <c r="A3" s="616"/>
      <c r="B3" s="616"/>
      <c r="C3" s="19"/>
    </row>
    <row r="4" spans="1:26" s="4" customFormat="1" ht="15" customHeight="1" x14ac:dyDescent="0.25">
      <c r="A4" s="616"/>
      <c r="B4" s="616"/>
      <c r="C4" s="19"/>
      <c r="D4" s="164"/>
      <c r="E4" s="164"/>
      <c r="F4" s="164"/>
      <c r="G4" s="164"/>
      <c r="H4" s="164"/>
      <c r="I4" s="164"/>
    </row>
    <row r="5" spans="1:26" s="4" customFormat="1" ht="15" customHeight="1" x14ac:dyDescent="0.25">
      <c r="A5" s="520" t="s">
        <v>0</v>
      </c>
      <c r="B5" s="520" t="s">
        <v>1</v>
      </c>
      <c r="C5" s="601" t="s">
        <v>448</v>
      </c>
      <c r="D5" s="602"/>
      <c r="E5" s="602"/>
      <c r="F5" s="603"/>
      <c r="G5" s="607" t="s">
        <v>449</v>
      </c>
      <c r="H5" s="608"/>
      <c r="I5" s="608"/>
      <c r="J5" s="609"/>
      <c r="K5" s="559" t="s">
        <v>450</v>
      </c>
      <c r="L5" s="560"/>
      <c r="M5" s="561"/>
      <c r="N5" s="82">
        <v>1</v>
      </c>
      <c r="P5" s="521" t="s">
        <v>445</v>
      </c>
      <c r="Q5" s="623" t="s">
        <v>446</v>
      </c>
      <c r="R5" s="625" t="s">
        <v>447</v>
      </c>
      <c r="S5" s="627" t="s">
        <v>482</v>
      </c>
      <c r="T5" s="619" t="s">
        <v>444</v>
      </c>
      <c r="U5" s="620"/>
      <c r="V5" s="179" t="s">
        <v>415</v>
      </c>
    </row>
    <row r="6" spans="1:26" s="4" customFormat="1" ht="15" customHeight="1" x14ac:dyDescent="0.25">
      <c r="A6" s="520"/>
      <c r="B6" s="520"/>
      <c r="C6" s="604"/>
      <c r="D6" s="605"/>
      <c r="E6" s="605"/>
      <c r="F6" s="606"/>
      <c r="G6" s="610"/>
      <c r="H6" s="611"/>
      <c r="I6" s="611"/>
      <c r="J6" s="612"/>
      <c r="K6" s="613"/>
      <c r="L6" s="614"/>
      <c r="M6" s="615"/>
      <c r="N6" s="617" t="s">
        <v>489</v>
      </c>
      <c r="O6" s="5"/>
      <c r="P6" s="522"/>
      <c r="Q6" s="624"/>
      <c r="R6" s="626"/>
      <c r="S6" s="628"/>
      <c r="T6" s="621"/>
      <c r="U6" s="622"/>
      <c r="V6" s="68" t="s">
        <v>563</v>
      </c>
    </row>
    <row r="7" spans="1:26" s="4" customFormat="1" ht="37.5" customHeight="1" x14ac:dyDescent="0.25">
      <c r="A7" s="520"/>
      <c r="B7" s="520"/>
      <c r="C7" s="187" t="s">
        <v>430</v>
      </c>
      <c r="D7" s="188" t="s">
        <v>11</v>
      </c>
      <c r="E7" s="188" t="s">
        <v>20</v>
      </c>
      <c r="F7" s="184" t="s">
        <v>21</v>
      </c>
      <c r="G7" s="185" t="s">
        <v>30</v>
      </c>
      <c r="H7" s="185" t="s">
        <v>480</v>
      </c>
      <c r="I7" s="185" t="s">
        <v>43</v>
      </c>
      <c r="J7" s="185" t="s">
        <v>21</v>
      </c>
      <c r="K7" s="186" t="s">
        <v>29</v>
      </c>
      <c r="L7" s="186" t="s">
        <v>419</v>
      </c>
      <c r="M7" s="186" t="s">
        <v>21</v>
      </c>
      <c r="N7" s="618"/>
      <c r="P7" s="629" t="s">
        <v>451</v>
      </c>
      <c r="Q7" s="630"/>
      <c r="R7" s="630"/>
      <c r="S7" s="631"/>
      <c r="T7" s="209" t="s">
        <v>398</v>
      </c>
      <c r="U7" s="217" t="s">
        <v>33</v>
      </c>
      <c r="V7" s="208" t="s">
        <v>21</v>
      </c>
      <c r="W7" s="213" t="s">
        <v>565</v>
      </c>
    </row>
    <row r="8" spans="1:26" ht="15" customHeight="1" x14ac:dyDescent="0.25">
      <c r="A8" s="107">
        <v>5401</v>
      </c>
      <c r="B8" s="115" t="s">
        <v>66</v>
      </c>
      <c r="C8" s="384">
        <v>-14274198.970224243</v>
      </c>
      <c r="D8" s="384">
        <v>0</v>
      </c>
      <c r="E8" s="385">
        <v>-939319.55833225348</v>
      </c>
      <c r="F8" s="386">
        <v>-15213518.528556496</v>
      </c>
      <c r="G8" s="384">
        <v>0</v>
      </c>
      <c r="H8" s="384">
        <v>-2062</v>
      </c>
      <c r="I8" s="384">
        <v>0</v>
      </c>
      <c r="J8" s="387">
        <v>-2062</v>
      </c>
      <c r="K8" s="384">
        <v>288993.25703460723</v>
      </c>
      <c r="L8" s="384">
        <v>401787.29916393792</v>
      </c>
      <c r="M8" s="388">
        <v>690780.55619854515</v>
      </c>
      <c r="N8" s="386">
        <v>0</v>
      </c>
      <c r="P8" s="715">
        <v>-14524799.972357951</v>
      </c>
      <c r="Q8" s="716"/>
      <c r="R8" s="716"/>
      <c r="S8" s="717"/>
      <c r="T8" s="389">
        <v>11099474.609327864</v>
      </c>
      <c r="U8" s="390">
        <v>351290.45721875021</v>
      </c>
      <c r="V8" s="391">
        <v>-3074034.9058113368</v>
      </c>
      <c r="W8" s="407">
        <v>351290.45721875021</v>
      </c>
      <c r="X8" s="177"/>
      <c r="Y8" s="177"/>
      <c r="Z8" s="15"/>
    </row>
    <row r="9" spans="1:26" ht="15" customHeight="1" x14ac:dyDescent="0.25">
      <c r="A9" s="108">
        <v>5402</v>
      </c>
      <c r="B9" s="116" t="s">
        <v>105</v>
      </c>
      <c r="C9" s="392">
        <v>-11393323.255949399</v>
      </c>
      <c r="D9" s="392">
        <v>-48149</v>
      </c>
      <c r="E9" s="393">
        <v>-580323.07702988654</v>
      </c>
      <c r="F9" s="389">
        <v>-12021795.332979284</v>
      </c>
      <c r="G9" s="392">
        <v>0</v>
      </c>
      <c r="H9" s="392">
        <v>-212675</v>
      </c>
      <c r="I9" s="392">
        <v>0</v>
      </c>
      <c r="J9" s="394">
        <v>-212675</v>
      </c>
      <c r="K9" s="392">
        <v>500642.64082154166</v>
      </c>
      <c r="L9" s="392">
        <v>554964.16085396381</v>
      </c>
      <c r="M9" s="15">
        <v>1055606.8016755055</v>
      </c>
      <c r="N9" s="389">
        <v>-147500</v>
      </c>
      <c r="P9" s="715">
        <v>-11326363.531303778</v>
      </c>
      <c r="Q9" s="716"/>
      <c r="R9" s="716"/>
      <c r="S9" s="717"/>
      <c r="T9" s="389">
        <v>8256914.3985452019</v>
      </c>
      <c r="U9" s="390">
        <v>261325.45335464954</v>
      </c>
      <c r="V9" s="395">
        <v>-2808123.6794039267</v>
      </c>
      <c r="W9" s="408">
        <v>261325.45335464954</v>
      </c>
      <c r="X9" s="177"/>
      <c r="Y9" s="177"/>
      <c r="Z9" s="15"/>
    </row>
    <row r="10" spans="1:26" x14ac:dyDescent="0.25">
      <c r="A10" s="108">
        <v>5403</v>
      </c>
      <c r="B10" s="116" t="s">
        <v>106</v>
      </c>
      <c r="C10" s="392">
        <v>-657737.25975275808</v>
      </c>
      <c r="D10" s="392">
        <v>0</v>
      </c>
      <c r="E10" s="393">
        <v>-78062.297900624253</v>
      </c>
      <c r="F10" s="389">
        <v>-735799.5576533823</v>
      </c>
      <c r="G10" s="392">
        <v>0</v>
      </c>
      <c r="H10" s="392">
        <v>0</v>
      </c>
      <c r="I10" s="392">
        <v>-24226</v>
      </c>
      <c r="J10" s="394">
        <v>-24226</v>
      </c>
      <c r="K10" s="392">
        <v>238167.71082535342</v>
      </c>
      <c r="L10" s="392">
        <v>60546.008119793987</v>
      </c>
      <c r="M10" s="15">
        <v>298713.71894514741</v>
      </c>
      <c r="N10" s="389">
        <v>0</v>
      </c>
      <c r="P10" s="715">
        <v>-461311.83870823489</v>
      </c>
      <c r="Q10" s="716"/>
      <c r="R10" s="716"/>
      <c r="S10" s="717"/>
      <c r="T10" s="389">
        <v>503683.42417077569</v>
      </c>
      <c r="U10" s="390">
        <v>76716.360631874719</v>
      </c>
      <c r="V10" s="395">
        <v>119087.94609441551</v>
      </c>
      <c r="W10" s="408">
        <v>15941.221237783629</v>
      </c>
      <c r="X10" s="177"/>
      <c r="Y10" s="177"/>
      <c r="Z10" s="15"/>
    </row>
    <row r="11" spans="1:26" x14ac:dyDescent="0.25">
      <c r="A11" s="108">
        <v>5404</v>
      </c>
      <c r="B11" s="116" t="s">
        <v>107</v>
      </c>
      <c r="C11" s="392">
        <v>-638239.5580183462</v>
      </c>
      <c r="D11" s="392">
        <v>-6847</v>
      </c>
      <c r="E11" s="393">
        <v>-11519.967978592787</v>
      </c>
      <c r="F11" s="389">
        <v>-656606.52599693905</v>
      </c>
      <c r="G11" s="392">
        <v>-179859</v>
      </c>
      <c r="H11" s="392">
        <v>-176133</v>
      </c>
      <c r="I11" s="392">
        <v>0</v>
      </c>
      <c r="J11" s="394">
        <v>-355992</v>
      </c>
      <c r="K11" s="392">
        <v>212928.35804039307</v>
      </c>
      <c r="L11" s="392">
        <v>54129.764484748375</v>
      </c>
      <c r="M11" s="15">
        <v>267058.12252514146</v>
      </c>
      <c r="N11" s="389">
        <v>0</v>
      </c>
      <c r="P11" s="715">
        <v>-745540.40347179759</v>
      </c>
      <c r="Q11" s="716"/>
      <c r="R11" s="716"/>
      <c r="S11" s="717"/>
      <c r="T11" s="389">
        <v>450306.56804477831</v>
      </c>
      <c r="U11" s="390">
        <v>68586.495825028644</v>
      </c>
      <c r="V11" s="395">
        <v>-226647.33960199065</v>
      </c>
      <c r="W11" s="408">
        <v>14251.881800253572</v>
      </c>
      <c r="X11" s="177"/>
      <c r="Y11" s="177"/>
      <c r="Z11" s="15"/>
    </row>
    <row r="12" spans="1:26" x14ac:dyDescent="0.25">
      <c r="A12" s="108">
        <v>5405</v>
      </c>
      <c r="B12" s="116" t="s">
        <v>108</v>
      </c>
      <c r="C12" s="392">
        <v>341689.16732470808</v>
      </c>
      <c r="D12" s="392">
        <v>0</v>
      </c>
      <c r="E12" s="393">
        <v>314381.88851840299</v>
      </c>
      <c r="F12" s="389">
        <v>656071.05584311113</v>
      </c>
      <c r="G12" s="392">
        <v>-22508</v>
      </c>
      <c r="H12" s="392">
        <v>-542626</v>
      </c>
      <c r="I12" s="392">
        <v>0</v>
      </c>
      <c r="J12" s="394">
        <v>-565134</v>
      </c>
      <c r="K12" s="392">
        <v>573233.13032468874</v>
      </c>
      <c r="L12" s="392">
        <v>177321.64227762399</v>
      </c>
      <c r="M12" s="15">
        <v>750554.77260231273</v>
      </c>
      <c r="N12" s="389">
        <v>-128800</v>
      </c>
      <c r="P12" s="715">
        <v>712691.82844542386</v>
      </c>
      <c r="Q12" s="716"/>
      <c r="R12" s="716"/>
      <c r="S12" s="717"/>
      <c r="T12" s="389">
        <v>1475142.2056639288</v>
      </c>
      <c r="U12" s="390">
        <v>237701.58006547199</v>
      </c>
      <c r="V12" s="395">
        <v>2425535.6141748247</v>
      </c>
      <c r="W12" s="408">
        <v>46687.199000830668</v>
      </c>
      <c r="X12" s="177"/>
      <c r="Y12" s="177"/>
      <c r="Z12" s="15"/>
    </row>
    <row r="13" spans="1:26" x14ac:dyDescent="0.25">
      <c r="A13" s="108">
        <v>5406</v>
      </c>
      <c r="B13" s="116" t="s">
        <v>109</v>
      </c>
      <c r="C13" s="392">
        <v>-1373374.8896861323</v>
      </c>
      <c r="D13" s="392">
        <v>-6980</v>
      </c>
      <c r="E13" s="393">
        <v>-38760.831733021187</v>
      </c>
      <c r="F13" s="389">
        <v>-1419115.7214191535</v>
      </c>
      <c r="G13" s="392">
        <v>-47321</v>
      </c>
      <c r="H13" s="392">
        <v>-12563</v>
      </c>
      <c r="I13" s="392">
        <v>-46068</v>
      </c>
      <c r="J13" s="394">
        <v>-105952</v>
      </c>
      <c r="K13" s="392">
        <v>463734.60750360641</v>
      </c>
      <c r="L13" s="392">
        <v>119225.47263666561</v>
      </c>
      <c r="M13" s="15">
        <v>582960.08014027204</v>
      </c>
      <c r="N13" s="389">
        <v>0</v>
      </c>
      <c r="P13" s="715">
        <v>-942107.64127888146</v>
      </c>
      <c r="Q13" s="716"/>
      <c r="R13" s="716"/>
      <c r="S13" s="717"/>
      <c r="T13" s="389">
        <v>991839.03565035213</v>
      </c>
      <c r="U13" s="390">
        <v>151618.58691218751</v>
      </c>
      <c r="V13" s="395">
        <v>201349.98128365818</v>
      </c>
      <c r="W13" s="408">
        <v>31390.998275558512</v>
      </c>
      <c r="X13" s="177"/>
      <c r="Y13" s="177"/>
      <c r="Z13" s="15"/>
    </row>
    <row r="14" spans="1:26" ht="15" customHeight="1" x14ac:dyDescent="0.25">
      <c r="A14" s="108">
        <v>5407</v>
      </c>
      <c r="B14" s="116" t="s">
        <v>110</v>
      </c>
      <c r="C14" s="392">
        <v>-4395306.5083320346</v>
      </c>
      <c r="D14" s="392">
        <v>0</v>
      </c>
      <c r="E14" s="393">
        <v>-103545.79471373372</v>
      </c>
      <c r="F14" s="389">
        <v>-4498852.3030457683</v>
      </c>
      <c r="G14" s="392">
        <v>0</v>
      </c>
      <c r="H14" s="392">
        <v>-1529485</v>
      </c>
      <c r="I14" s="392">
        <v>0</v>
      </c>
      <c r="J14" s="394">
        <v>-1529485</v>
      </c>
      <c r="K14" s="392">
        <v>845972.92594197532</v>
      </c>
      <c r="L14" s="392">
        <v>435021.31845609203</v>
      </c>
      <c r="M14" s="15">
        <v>1280994.2443980672</v>
      </c>
      <c r="N14" s="389">
        <v>-408800</v>
      </c>
      <c r="P14" s="715">
        <v>-5156143.0586477015</v>
      </c>
      <c r="Q14" s="716"/>
      <c r="R14" s="716"/>
      <c r="S14" s="717"/>
      <c r="T14" s="389">
        <v>3618950.8453426254</v>
      </c>
      <c r="U14" s="390">
        <v>628671.30875460175</v>
      </c>
      <c r="V14" s="395">
        <v>-908520.90455047437</v>
      </c>
      <c r="W14" s="408">
        <v>114537.21386453786</v>
      </c>
      <c r="X14" s="177"/>
      <c r="Y14" s="177"/>
      <c r="Z14" s="15"/>
    </row>
    <row r="15" spans="1:26" ht="15" customHeight="1" x14ac:dyDescent="0.25">
      <c r="A15" s="108">
        <v>5408</v>
      </c>
      <c r="B15" s="116" t="s">
        <v>111</v>
      </c>
      <c r="C15" s="392">
        <v>-899369.07614546851</v>
      </c>
      <c r="D15" s="392">
        <v>0</v>
      </c>
      <c r="E15" s="393">
        <v>51398.526218233892</v>
      </c>
      <c r="F15" s="389">
        <v>-847970.54992723465</v>
      </c>
      <c r="G15" s="392">
        <v>0</v>
      </c>
      <c r="H15" s="392">
        <v>0</v>
      </c>
      <c r="I15" s="392">
        <v>-62792</v>
      </c>
      <c r="J15" s="394">
        <v>-62792</v>
      </c>
      <c r="K15" s="392">
        <v>498475.10269583738</v>
      </c>
      <c r="L15" s="392">
        <v>137657.5907155239</v>
      </c>
      <c r="M15" s="15">
        <v>636132.69341136131</v>
      </c>
      <c r="N15" s="389">
        <v>-24900</v>
      </c>
      <c r="P15" s="715">
        <v>-299529.85651587334</v>
      </c>
      <c r="Q15" s="716"/>
      <c r="R15" s="716"/>
      <c r="S15" s="717"/>
      <c r="T15" s="389">
        <v>1145176.1859759449</v>
      </c>
      <c r="U15" s="390">
        <v>178930.05863551874</v>
      </c>
      <c r="V15" s="395">
        <v>1024576.3880955903</v>
      </c>
      <c r="W15" s="408">
        <v>36244.009750644858</v>
      </c>
      <c r="X15" s="177"/>
      <c r="Y15" s="177"/>
      <c r="Z15" s="15"/>
    </row>
    <row r="16" spans="1:26" x14ac:dyDescent="0.25">
      <c r="A16" s="108">
        <v>5409</v>
      </c>
      <c r="B16" s="116" t="s">
        <v>112</v>
      </c>
      <c r="C16" s="392">
        <v>1408005.3309020819</v>
      </c>
      <c r="D16" s="392">
        <v>0</v>
      </c>
      <c r="E16" s="393">
        <v>947326.16698963521</v>
      </c>
      <c r="F16" s="389">
        <v>2355331.4978917171</v>
      </c>
      <c r="G16" s="392">
        <v>0</v>
      </c>
      <c r="H16" s="392">
        <v>-1264526</v>
      </c>
      <c r="I16" s="392">
        <v>0</v>
      </c>
      <c r="J16" s="394">
        <v>-1264526</v>
      </c>
      <c r="K16" s="392">
        <v>527451.08103490807</v>
      </c>
      <c r="L16" s="392">
        <v>438754.88106120168</v>
      </c>
      <c r="M16" s="15">
        <v>966205.96209610975</v>
      </c>
      <c r="N16" s="389">
        <v>0</v>
      </c>
      <c r="P16" s="715">
        <v>2057011.4599878269</v>
      </c>
      <c r="Q16" s="716"/>
      <c r="R16" s="716"/>
      <c r="S16" s="717"/>
      <c r="T16" s="389">
        <v>7896863.2417680193</v>
      </c>
      <c r="U16" s="390">
        <v>249930.09096694679</v>
      </c>
      <c r="V16" s="395">
        <v>10203804.792722793</v>
      </c>
      <c r="W16" s="408">
        <v>249930.09096694679</v>
      </c>
      <c r="X16" s="177"/>
      <c r="Y16" s="177"/>
      <c r="Z16" s="15"/>
    </row>
    <row r="17" spans="1:26" x14ac:dyDescent="0.25">
      <c r="A17" s="108">
        <v>5410</v>
      </c>
      <c r="B17" s="116" t="s">
        <v>113</v>
      </c>
      <c r="C17" s="392">
        <v>-1153069.5708984474</v>
      </c>
      <c r="D17" s="392">
        <v>0</v>
      </c>
      <c r="E17" s="393">
        <v>5446.9998985434358</v>
      </c>
      <c r="F17" s="389">
        <v>-1147622.5709999041</v>
      </c>
      <c r="G17" s="392">
        <v>-502392</v>
      </c>
      <c r="H17" s="392">
        <v>-440807</v>
      </c>
      <c r="I17" s="392">
        <v>0</v>
      </c>
      <c r="J17" s="394">
        <v>-943199</v>
      </c>
      <c r="K17" s="392">
        <v>505291.27580317389</v>
      </c>
      <c r="L17" s="392">
        <v>141274.01894618597</v>
      </c>
      <c r="M17" s="15">
        <v>646565.29474935983</v>
      </c>
      <c r="N17" s="389">
        <v>0</v>
      </c>
      <c r="P17" s="715">
        <v>-1444256.2762505442</v>
      </c>
      <c r="Q17" s="716"/>
      <c r="R17" s="716"/>
      <c r="S17" s="717"/>
      <c r="T17" s="389">
        <v>1175261.3230651433</v>
      </c>
      <c r="U17" s="390">
        <v>184288.63853060271</v>
      </c>
      <c r="V17" s="395">
        <v>-84706.314654798218</v>
      </c>
      <c r="W17" s="408">
        <v>37196.182888161798</v>
      </c>
      <c r="X17" s="177"/>
      <c r="Y17" s="177"/>
      <c r="Z17" s="15"/>
    </row>
    <row r="18" spans="1:26" x14ac:dyDescent="0.25">
      <c r="A18" s="108">
        <v>5411</v>
      </c>
      <c r="B18" s="116" t="s">
        <v>114</v>
      </c>
      <c r="C18" s="392">
        <v>618174.26199471497</v>
      </c>
      <c r="D18" s="392">
        <v>0</v>
      </c>
      <c r="E18" s="393">
        <v>259835.47747747431</v>
      </c>
      <c r="F18" s="389">
        <v>878009.73947218922</v>
      </c>
      <c r="G18" s="392">
        <v>-340877</v>
      </c>
      <c r="H18" s="392">
        <v>-606142</v>
      </c>
      <c r="I18" s="392">
        <v>0</v>
      </c>
      <c r="J18" s="394">
        <v>-947019</v>
      </c>
      <c r="K18" s="392">
        <v>552784.61100267945</v>
      </c>
      <c r="L18" s="392">
        <v>166472.3575856378</v>
      </c>
      <c r="M18" s="15">
        <v>719256.96858831728</v>
      </c>
      <c r="N18" s="389">
        <v>0</v>
      </c>
      <c r="P18" s="715">
        <v>650247.7080605065</v>
      </c>
      <c r="Q18" s="716"/>
      <c r="R18" s="716"/>
      <c r="S18" s="717"/>
      <c r="T18" s="389">
        <v>1384886.7943963332</v>
      </c>
      <c r="U18" s="390">
        <v>221625.84038022009</v>
      </c>
      <c r="V18" s="395">
        <v>2256760.3428370599</v>
      </c>
      <c r="W18" s="408">
        <v>43830.67958827984</v>
      </c>
      <c r="X18" s="177"/>
      <c r="Y18" s="177"/>
      <c r="Z18" s="15"/>
    </row>
    <row r="19" spans="1:26" x14ac:dyDescent="0.25">
      <c r="A19" s="108">
        <v>5412</v>
      </c>
      <c r="B19" s="116" t="s">
        <v>115</v>
      </c>
      <c r="C19" s="392">
        <v>-864364.11748213705</v>
      </c>
      <c r="D19" s="392">
        <v>0</v>
      </c>
      <c r="E19" s="393">
        <v>203018.34904281443</v>
      </c>
      <c r="F19" s="389">
        <v>-661345.76843932259</v>
      </c>
      <c r="G19" s="392">
        <v>0</v>
      </c>
      <c r="H19" s="392">
        <v>0</v>
      </c>
      <c r="I19" s="392">
        <v>-18274</v>
      </c>
      <c r="J19" s="394">
        <v>-18274</v>
      </c>
      <c r="K19" s="392">
        <v>425856.71608078614</v>
      </c>
      <c r="L19" s="392">
        <v>108259.52896949675</v>
      </c>
      <c r="M19" s="15">
        <v>534116.24505028292</v>
      </c>
      <c r="N19" s="389">
        <v>0</v>
      </c>
      <c r="P19" s="715">
        <v>-145503.52338903968</v>
      </c>
      <c r="Q19" s="716"/>
      <c r="R19" s="716"/>
      <c r="S19" s="717"/>
      <c r="T19" s="389">
        <v>900613.13608955662</v>
      </c>
      <c r="U19" s="390">
        <v>137172.99165005729</v>
      </c>
      <c r="V19" s="395">
        <v>892282.6043505742</v>
      </c>
      <c r="W19" s="408">
        <v>28503.763600507144</v>
      </c>
      <c r="X19" s="177"/>
      <c r="Y19" s="177"/>
      <c r="Z19" s="15"/>
    </row>
    <row r="20" spans="1:26" ht="15" customHeight="1" x14ac:dyDescent="0.25">
      <c r="A20" s="108">
        <v>5413</v>
      </c>
      <c r="B20" s="116" t="s">
        <v>116</v>
      </c>
      <c r="C20" s="392">
        <v>-2922117.3414048771</v>
      </c>
      <c r="D20" s="392">
        <v>-86106</v>
      </c>
      <c r="E20" s="393">
        <v>-123046.23222432035</v>
      </c>
      <c r="F20" s="389">
        <v>-3131269.5736291977</v>
      </c>
      <c r="G20" s="392">
        <v>0</v>
      </c>
      <c r="H20" s="392">
        <v>0</v>
      </c>
      <c r="I20" s="392">
        <v>-188232</v>
      </c>
      <c r="J20" s="394">
        <v>-188232</v>
      </c>
      <c r="K20" s="392">
        <v>669539.06003479718</v>
      </c>
      <c r="L20" s="392">
        <v>228418.27340762355</v>
      </c>
      <c r="M20" s="15">
        <v>897957.3334424207</v>
      </c>
      <c r="N20" s="389">
        <v>0</v>
      </c>
      <c r="P20" s="715">
        <v>-2421544.240186777</v>
      </c>
      <c r="Q20" s="716"/>
      <c r="R20" s="716"/>
      <c r="S20" s="717"/>
      <c r="T20" s="389">
        <v>1900216.0780855084</v>
      </c>
      <c r="U20" s="390">
        <v>313413.12826052943</v>
      </c>
      <c r="V20" s="395">
        <v>-207915.03384073911</v>
      </c>
      <c r="W20" s="408">
        <v>60140.483976070027</v>
      </c>
      <c r="X20" s="177"/>
      <c r="Y20" s="177"/>
      <c r="Z20" s="15"/>
    </row>
    <row r="21" spans="1:26" ht="15" customHeight="1" x14ac:dyDescent="0.25">
      <c r="A21" s="108">
        <v>5414</v>
      </c>
      <c r="B21" s="116" t="s">
        <v>117</v>
      </c>
      <c r="C21" s="392">
        <v>-5660083.1151409298</v>
      </c>
      <c r="D21" s="392">
        <v>0</v>
      </c>
      <c r="E21" s="393">
        <v>53189.170859188773</v>
      </c>
      <c r="F21" s="389">
        <v>-5606893.944281741</v>
      </c>
      <c r="G21" s="392">
        <v>0</v>
      </c>
      <c r="H21" s="392">
        <v>0</v>
      </c>
      <c r="I21" s="392">
        <v>0</v>
      </c>
      <c r="J21" s="394">
        <v>0</v>
      </c>
      <c r="K21" s="392">
        <v>677751.77010176377</v>
      </c>
      <c r="L21" s="392">
        <v>274698.81268129509</v>
      </c>
      <c r="M21" s="15">
        <v>952450.58278305887</v>
      </c>
      <c r="N21" s="389">
        <v>-465800</v>
      </c>
      <c r="P21" s="715">
        <v>-5120243.3614986818</v>
      </c>
      <c r="Q21" s="716"/>
      <c r="R21" s="716"/>
      <c r="S21" s="717"/>
      <c r="T21" s="389">
        <v>5878247.5919121169</v>
      </c>
      <c r="U21" s="390">
        <v>1073466.4371985812</v>
      </c>
      <c r="V21" s="395">
        <v>1831470.6676120162</v>
      </c>
      <c r="W21" s="408">
        <v>186042.3449658101</v>
      </c>
      <c r="X21" s="177"/>
      <c r="Y21" s="177"/>
      <c r="Z21" s="15"/>
    </row>
    <row r="22" spans="1:26" x14ac:dyDescent="0.25">
      <c r="A22" s="108">
        <v>5415</v>
      </c>
      <c r="B22" s="116" t="s">
        <v>118</v>
      </c>
      <c r="C22" s="392">
        <v>-914637.78887078678</v>
      </c>
      <c r="D22" s="392">
        <v>0</v>
      </c>
      <c r="E22" s="393">
        <v>-55547.957974743098</v>
      </c>
      <c r="F22" s="389">
        <v>-970185.74684552988</v>
      </c>
      <c r="G22" s="392">
        <v>-32826</v>
      </c>
      <c r="H22" s="392">
        <v>0</v>
      </c>
      <c r="I22" s="392">
        <v>0</v>
      </c>
      <c r="J22" s="394">
        <v>-32826</v>
      </c>
      <c r="K22" s="392">
        <v>482643.9909626689</v>
      </c>
      <c r="L22" s="392">
        <v>-21807.455497626725</v>
      </c>
      <c r="M22" s="15">
        <v>460836.53546504217</v>
      </c>
      <c r="N22" s="389">
        <v>-121100</v>
      </c>
      <c r="P22" s="715">
        <v>-663275.21138048777</v>
      </c>
      <c r="Q22" s="716"/>
      <c r="R22" s="716"/>
      <c r="S22" s="717"/>
      <c r="T22" s="389">
        <v>1075301.0288655481</v>
      </c>
      <c r="U22" s="390">
        <v>166484.32468564628</v>
      </c>
      <c r="V22" s="395">
        <v>578510.14217070653</v>
      </c>
      <c r="W22" s="408">
        <v>34032.510850605511</v>
      </c>
      <c r="X22" s="177"/>
      <c r="Y22" s="177"/>
      <c r="Z22" s="15"/>
    </row>
    <row r="23" spans="1:26" x14ac:dyDescent="0.25">
      <c r="A23" s="108">
        <v>5422</v>
      </c>
      <c r="B23" s="116" t="s">
        <v>119</v>
      </c>
      <c r="C23" s="392">
        <v>8606257.2587357294</v>
      </c>
      <c r="D23" s="392">
        <v>0</v>
      </c>
      <c r="E23" s="393">
        <v>183987.57180867507</v>
      </c>
      <c r="F23" s="389">
        <v>8790244.8305444047</v>
      </c>
      <c r="G23" s="392">
        <v>0</v>
      </c>
      <c r="H23" s="392">
        <v>0</v>
      </c>
      <c r="I23" s="392">
        <v>0</v>
      </c>
      <c r="J23" s="394">
        <v>0</v>
      </c>
      <c r="K23" s="392">
        <v>837879.81191529892</v>
      </c>
      <c r="L23" s="392">
        <v>448087.12367654854</v>
      </c>
      <c r="M23" s="15">
        <v>1285966.9355918474</v>
      </c>
      <c r="N23" s="389">
        <v>0</v>
      </c>
      <c r="P23" s="715">
        <v>10076211.766136251</v>
      </c>
      <c r="Q23" s="716"/>
      <c r="R23" s="716"/>
      <c r="S23" s="717"/>
      <c r="T23" s="389">
        <v>3727645.5341810202</v>
      </c>
      <c r="U23" s="390">
        <v>649433.6741070305</v>
      </c>
      <c r="V23" s="395">
        <v>14453290.974424303</v>
      </c>
      <c r="W23" s="408">
        <v>117977.32326459906</v>
      </c>
      <c r="X23" s="177"/>
      <c r="Y23" s="177"/>
      <c r="Z23" s="15"/>
    </row>
    <row r="24" spans="1:26" ht="15" customHeight="1" x14ac:dyDescent="0.25">
      <c r="A24" s="108">
        <v>5423</v>
      </c>
      <c r="B24" s="116" t="s">
        <v>411</v>
      </c>
      <c r="C24" s="392">
        <v>-558283.97841484682</v>
      </c>
      <c r="D24" s="392">
        <v>0</v>
      </c>
      <c r="E24" s="393">
        <v>-29090.921456184122</v>
      </c>
      <c r="F24" s="389">
        <v>-587374.89987103094</v>
      </c>
      <c r="G24" s="392">
        <v>-40394</v>
      </c>
      <c r="H24" s="392">
        <v>0</v>
      </c>
      <c r="I24" s="392">
        <v>0</v>
      </c>
      <c r="J24" s="394">
        <v>-40394</v>
      </c>
      <c r="K24" s="392">
        <v>264324.85825703968</v>
      </c>
      <c r="L24" s="392">
        <v>67195.569705204878</v>
      </c>
      <c r="M24" s="15">
        <v>331520.42796224455</v>
      </c>
      <c r="N24" s="389">
        <v>0</v>
      </c>
      <c r="P24" s="715">
        <v>-296248.47190878639</v>
      </c>
      <c r="Q24" s="716"/>
      <c r="R24" s="716"/>
      <c r="S24" s="717"/>
      <c r="T24" s="389">
        <v>559001.25688317302</v>
      </c>
      <c r="U24" s="390">
        <v>85141.856886242458</v>
      </c>
      <c r="V24" s="395">
        <v>347894.64186062908</v>
      </c>
      <c r="W24" s="408">
        <v>17691.99120031478</v>
      </c>
      <c r="X24" s="177"/>
      <c r="Y24" s="177"/>
      <c r="Z24" s="15"/>
    </row>
    <row r="25" spans="1:26" x14ac:dyDescent="0.25">
      <c r="A25" s="108">
        <v>5424</v>
      </c>
      <c r="B25" s="116" t="s">
        <v>120</v>
      </c>
      <c r="C25" s="392">
        <v>-249493.27280470592</v>
      </c>
      <c r="D25" s="392">
        <v>0</v>
      </c>
      <c r="E25" s="393">
        <v>19570.577703680588</v>
      </c>
      <c r="F25" s="389">
        <v>-229922.69510102534</v>
      </c>
      <c r="G25" s="392">
        <v>-76973</v>
      </c>
      <c r="H25" s="392">
        <v>-45749</v>
      </c>
      <c r="I25" s="392">
        <v>-4092</v>
      </c>
      <c r="J25" s="394">
        <v>-126814</v>
      </c>
      <c r="K25" s="392">
        <v>139504.78630232648</v>
      </c>
      <c r="L25" s="392">
        <v>35464.328455524803</v>
      </c>
      <c r="M25" s="15">
        <v>174969.11475785129</v>
      </c>
      <c r="N25" s="389">
        <v>0</v>
      </c>
      <c r="P25" s="715">
        <v>-181767.58034317405</v>
      </c>
      <c r="Q25" s="716"/>
      <c r="R25" s="716"/>
      <c r="S25" s="717"/>
      <c r="T25" s="389">
        <v>295028.44113278575</v>
      </c>
      <c r="U25" s="390">
        <v>44935.980023294636</v>
      </c>
      <c r="V25" s="395">
        <v>158196.84081290633</v>
      </c>
      <c r="W25" s="408">
        <v>9337.4398001661339</v>
      </c>
      <c r="X25" s="177"/>
      <c r="Y25" s="177"/>
      <c r="Z25" s="15"/>
    </row>
    <row r="26" spans="1:26" x14ac:dyDescent="0.25">
      <c r="A26" s="108">
        <v>5425</v>
      </c>
      <c r="B26" s="116" t="s">
        <v>121</v>
      </c>
      <c r="C26" s="392">
        <v>-2089177.7388447118</v>
      </c>
      <c r="D26" s="392">
        <v>0</v>
      </c>
      <c r="E26" s="393">
        <v>-99382.529384146095</v>
      </c>
      <c r="F26" s="389">
        <v>-2188560.2682288578</v>
      </c>
      <c r="G26" s="392">
        <v>-115300</v>
      </c>
      <c r="H26" s="392">
        <v>-1290</v>
      </c>
      <c r="I26" s="392">
        <v>0</v>
      </c>
      <c r="J26" s="394">
        <v>-116590</v>
      </c>
      <c r="K26" s="392">
        <v>616548.81103905267</v>
      </c>
      <c r="L26" s="392">
        <v>200303.46038860554</v>
      </c>
      <c r="M26" s="15">
        <v>816852.27142765815</v>
      </c>
      <c r="N26" s="389">
        <v>-189800</v>
      </c>
      <c r="P26" s="715">
        <v>-1678097.9968011996</v>
      </c>
      <c r="Q26" s="716"/>
      <c r="R26" s="716"/>
      <c r="S26" s="717"/>
      <c r="T26" s="389">
        <v>1666328.3994243196</v>
      </c>
      <c r="U26" s="390">
        <v>271754.49101165083</v>
      </c>
      <c r="V26" s="395">
        <v>259984.89363477082</v>
      </c>
      <c r="W26" s="408">
        <v>52738.105713438323</v>
      </c>
      <c r="X26" s="177"/>
      <c r="Y26" s="177"/>
      <c r="Z26" s="15"/>
    </row>
    <row r="27" spans="1:26" x14ac:dyDescent="0.25">
      <c r="A27" s="108">
        <v>5426</v>
      </c>
      <c r="B27" s="116" t="s">
        <v>122</v>
      </c>
      <c r="C27" s="392">
        <v>2426935.5343819233</v>
      </c>
      <c r="D27" s="392">
        <v>0</v>
      </c>
      <c r="E27" s="393">
        <v>231291.04981672519</v>
      </c>
      <c r="F27" s="389">
        <v>2658226.5841986486</v>
      </c>
      <c r="G27" s="392">
        <v>0</v>
      </c>
      <c r="H27" s="392">
        <v>0</v>
      </c>
      <c r="I27" s="392">
        <v>0</v>
      </c>
      <c r="J27" s="394">
        <v>0</v>
      </c>
      <c r="K27" s="392">
        <v>234955.42956181301</v>
      </c>
      <c r="L27" s="392">
        <v>59729.395293515452</v>
      </c>
      <c r="M27" s="15">
        <v>294684.82485532848</v>
      </c>
      <c r="N27" s="389">
        <v>0</v>
      </c>
      <c r="P27" s="715">
        <v>2952911.4090539771</v>
      </c>
      <c r="Q27" s="716"/>
      <c r="R27" s="716"/>
      <c r="S27" s="717"/>
      <c r="T27" s="389">
        <v>496890.00611837604</v>
      </c>
      <c r="U27" s="390">
        <v>75681.650565548858</v>
      </c>
      <c r="V27" s="395">
        <v>3525483.0657379022</v>
      </c>
      <c r="W27" s="408">
        <v>15726.214400279803</v>
      </c>
      <c r="X27" s="177"/>
      <c r="Y27" s="177"/>
      <c r="Z27" s="15"/>
    </row>
    <row r="28" spans="1:26" ht="15" customHeight="1" x14ac:dyDescent="0.25">
      <c r="A28" s="108">
        <v>5427</v>
      </c>
      <c r="B28" s="116" t="s">
        <v>123</v>
      </c>
      <c r="C28" s="392">
        <v>2309336.0792748607</v>
      </c>
      <c r="D28" s="392">
        <v>0</v>
      </c>
      <c r="E28" s="393">
        <v>30629.002179269097</v>
      </c>
      <c r="F28" s="389">
        <v>2339965.0814541299</v>
      </c>
      <c r="G28" s="392">
        <v>0</v>
      </c>
      <c r="H28" s="392">
        <v>0</v>
      </c>
      <c r="I28" s="392">
        <v>0</v>
      </c>
      <c r="J28" s="394">
        <v>0</v>
      </c>
      <c r="K28" s="392">
        <v>411172.0017331728</v>
      </c>
      <c r="L28" s="392">
        <v>104526.44176365204</v>
      </c>
      <c r="M28" s="15">
        <v>515698.44349682482</v>
      </c>
      <c r="N28" s="389">
        <v>0</v>
      </c>
      <c r="P28" s="715">
        <v>2855663.5249509546</v>
      </c>
      <c r="Q28" s="716"/>
      <c r="R28" s="716"/>
      <c r="S28" s="717"/>
      <c r="T28" s="389">
        <v>869557.51070715813</v>
      </c>
      <c r="U28" s="390">
        <v>132442.88848971049</v>
      </c>
      <c r="V28" s="395">
        <v>3857663.9241478234</v>
      </c>
      <c r="W28" s="408">
        <v>27520.875200489656</v>
      </c>
      <c r="X28" s="177"/>
      <c r="Y28" s="177"/>
      <c r="Z28" s="15"/>
    </row>
    <row r="29" spans="1:26" x14ac:dyDescent="0.25">
      <c r="A29" s="108">
        <v>5428</v>
      </c>
      <c r="B29" s="116" t="s">
        <v>124</v>
      </c>
      <c r="C29" s="392">
        <v>-2553962.6761656664</v>
      </c>
      <c r="D29" s="392">
        <v>0</v>
      </c>
      <c r="E29" s="393">
        <v>-109786.31832377415</v>
      </c>
      <c r="F29" s="389">
        <v>-2663748.9944894407</v>
      </c>
      <c r="G29" s="392">
        <v>0</v>
      </c>
      <c r="H29" s="392">
        <v>-66505</v>
      </c>
      <c r="I29" s="392">
        <v>-97055</v>
      </c>
      <c r="J29" s="394">
        <v>-163560</v>
      </c>
      <c r="K29" s="392">
        <v>781016.47182252584</v>
      </c>
      <c r="L29" s="392">
        <v>287564.37382522575</v>
      </c>
      <c r="M29" s="15">
        <v>1068580.8456477516</v>
      </c>
      <c r="N29" s="389">
        <v>-82700</v>
      </c>
      <c r="P29" s="715">
        <v>-1841428.1488416891</v>
      </c>
      <c r="Q29" s="716"/>
      <c r="R29" s="716"/>
      <c r="S29" s="717"/>
      <c r="T29" s="389">
        <v>2392253.6427378845</v>
      </c>
      <c r="U29" s="390">
        <v>401051.83815754799</v>
      </c>
      <c r="V29" s="395">
        <v>951877.33205374342</v>
      </c>
      <c r="W29" s="408">
        <v>75713.122063847099</v>
      </c>
      <c r="X29" s="177"/>
      <c r="Y29" s="177"/>
      <c r="Z29" s="15"/>
    </row>
    <row r="30" spans="1:26" x14ac:dyDescent="0.25">
      <c r="A30" s="108">
        <v>5429</v>
      </c>
      <c r="B30" s="116" t="s">
        <v>125</v>
      </c>
      <c r="C30" s="392">
        <v>-406264.53706456569</v>
      </c>
      <c r="D30" s="392">
        <v>0</v>
      </c>
      <c r="E30" s="393">
        <v>-61322.718304135749</v>
      </c>
      <c r="F30" s="389">
        <v>-467587.25536870142</v>
      </c>
      <c r="G30" s="392">
        <v>-54148</v>
      </c>
      <c r="H30" s="392">
        <v>-47344</v>
      </c>
      <c r="I30" s="392">
        <v>0</v>
      </c>
      <c r="J30" s="394">
        <v>-101492</v>
      </c>
      <c r="K30" s="392">
        <v>254688.01446641845</v>
      </c>
      <c r="L30" s="392">
        <v>64745.731226369287</v>
      </c>
      <c r="M30" s="15">
        <v>319433.74569278775</v>
      </c>
      <c r="N30" s="389">
        <v>0</v>
      </c>
      <c r="P30" s="715">
        <v>-249645.50967591366</v>
      </c>
      <c r="Q30" s="716"/>
      <c r="R30" s="716"/>
      <c r="S30" s="717"/>
      <c r="T30" s="389">
        <v>538621.00272597407</v>
      </c>
      <c r="U30" s="390">
        <v>82037.726687264876</v>
      </c>
      <c r="V30" s="395">
        <v>371013.21973732527</v>
      </c>
      <c r="W30" s="408">
        <v>17046.970687803303</v>
      </c>
      <c r="X30" s="177"/>
      <c r="Y30" s="177"/>
      <c r="Z30" s="15"/>
    </row>
    <row r="31" spans="1:26" x14ac:dyDescent="0.25">
      <c r="A31" s="108">
        <v>5430</v>
      </c>
      <c r="B31" s="116" t="s">
        <v>126</v>
      </c>
      <c r="C31" s="392">
        <v>-452639.75971914676</v>
      </c>
      <c r="D31" s="392">
        <v>0</v>
      </c>
      <c r="E31" s="393">
        <v>-76691.632916217946</v>
      </c>
      <c r="F31" s="389">
        <v>-529331.39263536467</v>
      </c>
      <c r="G31" s="392">
        <v>-84409</v>
      </c>
      <c r="H31" s="392">
        <v>-46599</v>
      </c>
      <c r="I31" s="392">
        <v>0</v>
      </c>
      <c r="J31" s="394">
        <v>-131008</v>
      </c>
      <c r="K31" s="392">
        <v>233119.84026836135</v>
      </c>
      <c r="L31" s="392">
        <v>59262.759392784865</v>
      </c>
      <c r="M31" s="15">
        <v>292382.59966114623</v>
      </c>
      <c r="N31" s="389">
        <v>0</v>
      </c>
      <c r="P31" s="715">
        <v>-367956.79297421844</v>
      </c>
      <c r="Q31" s="716"/>
      <c r="R31" s="716"/>
      <c r="S31" s="717"/>
      <c r="T31" s="389">
        <v>493008.0529455762</v>
      </c>
      <c r="U31" s="390">
        <v>75090.387670505501</v>
      </c>
      <c r="V31" s="395">
        <v>200141.64764186327</v>
      </c>
      <c r="W31" s="408">
        <v>15603.353350277617</v>
      </c>
      <c r="X31" s="177"/>
      <c r="Y31" s="177"/>
      <c r="Z31" s="15"/>
    </row>
    <row r="32" spans="1:26" x14ac:dyDescent="0.25">
      <c r="A32" s="108">
        <v>5431</v>
      </c>
      <c r="B32" s="116" t="s">
        <v>127</v>
      </c>
      <c r="C32" s="392">
        <v>-336797.07382455585</v>
      </c>
      <c r="D32" s="392">
        <v>0</v>
      </c>
      <c r="E32" s="393">
        <v>-57138.594998075161</v>
      </c>
      <c r="F32" s="389">
        <v>-393935.66882263101</v>
      </c>
      <c r="G32" s="392">
        <v>-89920</v>
      </c>
      <c r="H32" s="392">
        <v>-34271</v>
      </c>
      <c r="I32" s="392">
        <v>0</v>
      </c>
      <c r="J32" s="394">
        <v>-124191</v>
      </c>
      <c r="K32" s="392">
        <v>147764.93812285899</v>
      </c>
      <c r="L32" s="392">
        <v>37564.190008812453</v>
      </c>
      <c r="M32" s="15">
        <v>185329.12813167146</v>
      </c>
      <c r="N32" s="389">
        <v>0</v>
      </c>
      <c r="P32" s="715">
        <v>-332797.54069095955</v>
      </c>
      <c r="Q32" s="716"/>
      <c r="R32" s="716"/>
      <c r="S32" s="717"/>
      <c r="T32" s="389">
        <v>312497.23041038495</v>
      </c>
      <c r="U32" s="390">
        <v>47596.663050989708</v>
      </c>
      <c r="V32" s="395">
        <v>27296.352770415106</v>
      </c>
      <c r="W32" s="408">
        <v>9890.3145251759706</v>
      </c>
      <c r="X32" s="177"/>
      <c r="Y32" s="177"/>
      <c r="Z32" s="15"/>
    </row>
    <row r="33" spans="1:26" x14ac:dyDescent="0.25">
      <c r="A33" s="108">
        <v>5434</v>
      </c>
      <c r="B33" s="116" t="s">
        <v>128</v>
      </c>
      <c r="C33" s="392">
        <v>-287661.81931952661</v>
      </c>
      <c r="D33" s="392">
        <v>0</v>
      </c>
      <c r="E33" s="393">
        <v>-61576.787586825289</v>
      </c>
      <c r="F33" s="389">
        <v>-349238.60690635187</v>
      </c>
      <c r="G33" s="392">
        <v>-42053</v>
      </c>
      <c r="H33" s="392">
        <v>-151259</v>
      </c>
      <c r="I33" s="392">
        <v>0</v>
      </c>
      <c r="J33" s="394">
        <v>-193312</v>
      </c>
      <c r="K33" s="392">
        <v>472309.79302573943</v>
      </c>
      <c r="L33" s="392">
        <v>123775.17266878886</v>
      </c>
      <c r="M33" s="15">
        <v>596084.96569452831</v>
      </c>
      <c r="N33" s="389">
        <v>0</v>
      </c>
      <c r="P33" s="715">
        <v>53534.35878817644</v>
      </c>
      <c r="Q33" s="716"/>
      <c r="R33" s="716"/>
      <c r="S33" s="717"/>
      <c r="T33" s="389">
        <v>1029688.0790851504</v>
      </c>
      <c r="U33" s="390">
        <v>158360.02613503509</v>
      </c>
      <c r="V33" s="395">
        <v>1241582.4640083618</v>
      </c>
      <c r="W33" s="408">
        <v>32588.893513079827</v>
      </c>
      <c r="X33" s="177"/>
      <c r="Y33" s="177"/>
      <c r="Z33" s="15"/>
    </row>
    <row r="34" spans="1:26" x14ac:dyDescent="0.25">
      <c r="A34" s="108">
        <v>5435</v>
      </c>
      <c r="B34" s="116" t="s">
        <v>129</v>
      </c>
      <c r="C34" s="392">
        <v>-405293.23558983963</v>
      </c>
      <c r="D34" s="392">
        <v>0</v>
      </c>
      <c r="E34" s="393">
        <v>56672.358715346607</v>
      </c>
      <c r="F34" s="389">
        <v>-348620.87687449303</v>
      </c>
      <c r="G34" s="392">
        <v>-27445</v>
      </c>
      <c r="H34" s="392">
        <v>0</v>
      </c>
      <c r="I34" s="392">
        <v>0</v>
      </c>
      <c r="J34" s="394">
        <v>-27445</v>
      </c>
      <c r="K34" s="392">
        <v>319851.43438395252</v>
      </c>
      <c r="L34" s="392">
        <v>81311.30570230521</v>
      </c>
      <c r="M34" s="15">
        <v>401162.74008625775</v>
      </c>
      <c r="N34" s="389">
        <v>0</v>
      </c>
      <c r="P34" s="715">
        <v>25096.863211764721</v>
      </c>
      <c r="Q34" s="716"/>
      <c r="R34" s="716"/>
      <c r="S34" s="717"/>
      <c r="T34" s="389">
        <v>676430.34036036744</v>
      </c>
      <c r="U34" s="390">
        <v>103027.55946130381</v>
      </c>
      <c r="V34" s="395">
        <v>804554.76303343591</v>
      </c>
      <c r="W34" s="408">
        <v>21408.537962880902</v>
      </c>
      <c r="X34" s="177"/>
      <c r="Y34" s="177"/>
      <c r="Z34" s="15"/>
    </row>
    <row r="35" spans="1:26" x14ac:dyDescent="0.25">
      <c r="A35" s="108">
        <v>5436</v>
      </c>
      <c r="B35" s="116" t="s">
        <v>130</v>
      </c>
      <c r="C35" s="392">
        <v>-314662.64457343909</v>
      </c>
      <c r="D35" s="392">
        <v>0</v>
      </c>
      <c r="E35" s="393">
        <v>-75549.117543893852</v>
      </c>
      <c r="F35" s="389">
        <v>-390211.76211733295</v>
      </c>
      <c r="G35" s="392">
        <v>0</v>
      </c>
      <c r="H35" s="392">
        <v>-16900</v>
      </c>
      <c r="I35" s="392">
        <v>0</v>
      </c>
      <c r="J35" s="394">
        <v>-16900</v>
      </c>
      <c r="K35" s="392">
        <v>206503.79551331222</v>
      </c>
      <c r="L35" s="392">
        <v>52496.538832191312</v>
      </c>
      <c r="M35" s="15">
        <v>259000.33434550354</v>
      </c>
      <c r="N35" s="389">
        <v>0</v>
      </c>
      <c r="P35" s="715">
        <v>-148111.42777182942</v>
      </c>
      <c r="Q35" s="716"/>
      <c r="R35" s="716"/>
      <c r="S35" s="717"/>
      <c r="T35" s="389">
        <v>436719.73193997896</v>
      </c>
      <c r="U35" s="390">
        <v>66517.075692376937</v>
      </c>
      <c r="V35" s="395">
        <v>355125.37986052647</v>
      </c>
      <c r="W35" s="408">
        <v>13821.868125245921</v>
      </c>
      <c r="X35" s="177"/>
      <c r="Y35" s="177"/>
      <c r="Z35" s="15"/>
    </row>
    <row r="36" spans="1:26" x14ac:dyDescent="0.25">
      <c r="A36" s="108">
        <v>5437</v>
      </c>
      <c r="B36" s="116" t="s">
        <v>131</v>
      </c>
      <c r="C36" s="392">
        <v>-442279.21759599954</v>
      </c>
      <c r="D36" s="392">
        <v>0</v>
      </c>
      <c r="E36" s="393">
        <v>-33996.135727129644</v>
      </c>
      <c r="F36" s="389">
        <v>-476275.35332312918</v>
      </c>
      <c r="G36" s="392">
        <v>-1472</v>
      </c>
      <c r="H36" s="392">
        <v>-692</v>
      </c>
      <c r="I36" s="392">
        <v>-52807</v>
      </c>
      <c r="J36" s="394">
        <v>-54971</v>
      </c>
      <c r="K36" s="392">
        <v>206044.89818994934</v>
      </c>
      <c r="L36" s="392">
        <v>52379.879857008666</v>
      </c>
      <c r="M36" s="15">
        <v>258424.778046958</v>
      </c>
      <c r="N36" s="389">
        <v>-29100</v>
      </c>
      <c r="P36" s="715">
        <v>-301921.57527617121</v>
      </c>
      <c r="Q36" s="716"/>
      <c r="R36" s="716"/>
      <c r="S36" s="717"/>
      <c r="T36" s="389">
        <v>435749.24364677898</v>
      </c>
      <c r="U36" s="390">
        <v>66369.259968616083</v>
      </c>
      <c r="V36" s="395">
        <v>200196.92833922384</v>
      </c>
      <c r="W36" s="408">
        <v>13791.152862745374</v>
      </c>
      <c r="X36" s="177"/>
      <c r="Y36" s="177"/>
      <c r="Z36" s="15"/>
    </row>
    <row r="37" spans="1:26" x14ac:dyDescent="0.25">
      <c r="A37" s="108">
        <v>5451</v>
      </c>
      <c r="B37" s="116" t="s">
        <v>132</v>
      </c>
      <c r="C37" s="392">
        <v>-5096997.0473637981</v>
      </c>
      <c r="D37" s="392">
        <v>0</v>
      </c>
      <c r="E37" s="393">
        <v>-348866.5180919884</v>
      </c>
      <c r="F37" s="389">
        <v>-5445863.5654557869</v>
      </c>
      <c r="G37" s="392">
        <v>0</v>
      </c>
      <c r="H37" s="392">
        <v>0</v>
      </c>
      <c r="I37" s="392">
        <v>-138434</v>
      </c>
      <c r="J37" s="394">
        <v>-138434</v>
      </c>
      <c r="K37" s="392">
        <v>763307.54695520457</v>
      </c>
      <c r="L37" s="392">
        <v>380641.02606504067</v>
      </c>
      <c r="M37" s="15">
        <v>1143948.5730202452</v>
      </c>
      <c r="N37" s="389">
        <v>-224200</v>
      </c>
      <c r="P37" s="715">
        <v>-4664548.9924355419</v>
      </c>
      <c r="Q37" s="716"/>
      <c r="R37" s="716"/>
      <c r="S37" s="717"/>
      <c r="T37" s="389">
        <v>4729189.4527633721</v>
      </c>
      <c r="U37" s="390">
        <v>840744.0405686961</v>
      </c>
      <c r="V37" s="395">
        <v>905384.50089652627</v>
      </c>
      <c r="W37" s="408">
        <v>149675.47416516306</v>
      </c>
      <c r="X37" s="177"/>
      <c r="Y37" s="177"/>
      <c r="Z37" s="15"/>
    </row>
    <row r="38" spans="1:26" x14ac:dyDescent="0.25">
      <c r="A38" s="108">
        <v>5456</v>
      </c>
      <c r="B38" s="116" t="s">
        <v>133</v>
      </c>
      <c r="C38" s="392">
        <v>-1164128.3190524066</v>
      </c>
      <c r="D38" s="392">
        <v>0</v>
      </c>
      <c r="E38" s="393">
        <v>-107261.27688318375</v>
      </c>
      <c r="F38" s="389">
        <v>-1271389.5959355903</v>
      </c>
      <c r="G38" s="392">
        <v>0</v>
      </c>
      <c r="H38" s="392">
        <v>0</v>
      </c>
      <c r="I38" s="392">
        <v>0</v>
      </c>
      <c r="J38" s="394">
        <v>0</v>
      </c>
      <c r="K38" s="392">
        <v>651948.9358868323</v>
      </c>
      <c r="L38" s="392">
        <v>219085.55539301175</v>
      </c>
      <c r="M38" s="15">
        <v>871034.49127984408</v>
      </c>
      <c r="N38" s="389">
        <v>0</v>
      </c>
      <c r="P38" s="715">
        <v>-400355.10465574625</v>
      </c>
      <c r="Q38" s="716"/>
      <c r="R38" s="716"/>
      <c r="S38" s="717"/>
      <c r="T38" s="389">
        <v>1822577.0146295121</v>
      </c>
      <c r="U38" s="390">
        <v>299584.53498289338</v>
      </c>
      <c r="V38" s="395">
        <v>1721806.4449566591</v>
      </c>
      <c r="W38" s="408">
        <v>57683.262976026308</v>
      </c>
      <c r="X38" s="177"/>
      <c r="Y38" s="177"/>
      <c r="Z38" s="15"/>
    </row>
    <row r="39" spans="1:26" x14ac:dyDescent="0.25">
      <c r="A39" s="108">
        <v>5458</v>
      </c>
      <c r="B39" s="116" t="s">
        <v>134</v>
      </c>
      <c r="C39" s="392">
        <v>-757021.56362011586</v>
      </c>
      <c r="D39" s="392">
        <v>0</v>
      </c>
      <c r="E39" s="393">
        <v>-97404.480988372976</v>
      </c>
      <c r="F39" s="389">
        <v>-854426.0446084888</v>
      </c>
      <c r="G39" s="392">
        <v>0</v>
      </c>
      <c r="H39" s="392">
        <v>0</v>
      </c>
      <c r="I39" s="392">
        <v>0</v>
      </c>
      <c r="J39" s="394">
        <v>0</v>
      </c>
      <c r="K39" s="392">
        <v>415760.97496680199</v>
      </c>
      <c r="L39" s="392">
        <v>105693.03151547852</v>
      </c>
      <c r="M39" s="15">
        <v>521454.0064822805</v>
      </c>
      <c r="N39" s="389">
        <v>0</v>
      </c>
      <c r="P39" s="715">
        <v>-332972.0381262083</v>
      </c>
      <c r="Q39" s="716"/>
      <c r="R39" s="716"/>
      <c r="S39" s="717"/>
      <c r="T39" s="389">
        <v>879262.39363915764</v>
      </c>
      <c r="U39" s="390">
        <v>133921.04572731888</v>
      </c>
      <c r="V39" s="395">
        <v>680211.40124026826</v>
      </c>
      <c r="W39" s="408">
        <v>27828.027825495119</v>
      </c>
      <c r="X39" s="177"/>
      <c r="Y39" s="177"/>
      <c r="Z39" s="15"/>
    </row>
    <row r="40" spans="1:26" x14ac:dyDescent="0.25">
      <c r="A40" s="108">
        <v>5464</v>
      </c>
      <c r="B40" s="116" t="s">
        <v>135</v>
      </c>
      <c r="C40" s="392">
        <v>-2566641.2261957615</v>
      </c>
      <c r="D40" s="392">
        <v>0</v>
      </c>
      <c r="E40" s="393">
        <v>-234404.71078584972</v>
      </c>
      <c r="F40" s="389">
        <v>-2801045.936981611</v>
      </c>
      <c r="G40" s="392">
        <v>0</v>
      </c>
      <c r="H40" s="392">
        <v>0</v>
      </c>
      <c r="I40" s="392">
        <v>0</v>
      </c>
      <c r="J40" s="394">
        <v>0</v>
      </c>
      <c r="K40" s="392">
        <v>854282.81980865286</v>
      </c>
      <c r="L40" s="392">
        <v>421605.5363100876</v>
      </c>
      <c r="M40" s="15">
        <v>1275888.3561187405</v>
      </c>
      <c r="N40" s="389">
        <v>0</v>
      </c>
      <c r="P40" s="715">
        <v>-1525157.5808628704</v>
      </c>
      <c r="Q40" s="716"/>
      <c r="R40" s="716"/>
      <c r="S40" s="717"/>
      <c r="T40" s="389">
        <v>3507344.6916246307</v>
      </c>
      <c r="U40" s="390">
        <v>607352.80861594714</v>
      </c>
      <c r="V40" s="395">
        <v>2589539.9193777074</v>
      </c>
      <c r="W40" s="408">
        <v>111004.95867697502</v>
      </c>
      <c r="X40" s="177"/>
      <c r="Y40" s="177"/>
      <c r="Z40" s="15"/>
    </row>
    <row r="41" spans="1:26" x14ac:dyDescent="0.25">
      <c r="A41" s="108">
        <v>5471</v>
      </c>
      <c r="B41" s="116" t="s">
        <v>136</v>
      </c>
      <c r="C41" s="392">
        <v>-407227.70755745145</v>
      </c>
      <c r="D41" s="392">
        <v>0</v>
      </c>
      <c r="E41" s="393">
        <v>-49490.759996150329</v>
      </c>
      <c r="F41" s="389">
        <v>-456718.46755360177</v>
      </c>
      <c r="G41" s="392">
        <v>0</v>
      </c>
      <c r="H41" s="392">
        <v>0</v>
      </c>
      <c r="I41" s="392">
        <v>-69481</v>
      </c>
      <c r="J41" s="394">
        <v>-69481</v>
      </c>
      <c r="K41" s="392">
        <v>295529.87624571798</v>
      </c>
      <c r="L41" s="392">
        <v>75128.380017624906</v>
      </c>
      <c r="M41" s="15">
        <v>370658.25626334292</v>
      </c>
      <c r="N41" s="389">
        <v>0</v>
      </c>
      <c r="P41" s="715">
        <v>-155541.21129025891</v>
      </c>
      <c r="Q41" s="716"/>
      <c r="R41" s="716"/>
      <c r="S41" s="717"/>
      <c r="T41" s="389">
        <v>624994.46082076989</v>
      </c>
      <c r="U41" s="390">
        <v>95193.326101979415</v>
      </c>
      <c r="V41" s="395">
        <v>564646.57563249045</v>
      </c>
      <c r="W41" s="408">
        <v>19780.629050351941</v>
      </c>
      <c r="X41" s="177"/>
      <c r="Y41" s="177"/>
      <c r="Z41" s="15"/>
    </row>
    <row r="42" spans="1:26" x14ac:dyDescent="0.25">
      <c r="A42" s="108">
        <v>5472</v>
      </c>
      <c r="B42" s="116" t="s">
        <v>137</v>
      </c>
      <c r="C42" s="392">
        <v>-276731.95858829725</v>
      </c>
      <c r="D42" s="392">
        <v>0</v>
      </c>
      <c r="E42" s="393">
        <v>-37209.462900624247</v>
      </c>
      <c r="F42" s="389">
        <v>-313941.42148892151</v>
      </c>
      <c r="G42" s="392">
        <v>0</v>
      </c>
      <c r="H42" s="392">
        <v>0</v>
      </c>
      <c r="I42" s="392">
        <v>0</v>
      </c>
      <c r="J42" s="394">
        <v>0</v>
      </c>
      <c r="K42" s="392">
        <v>238167.71082535342</v>
      </c>
      <c r="L42" s="392">
        <v>60546.008119793987</v>
      </c>
      <c r="M42" s="15">
        <v>298713.71894514741</v>
      </c>
      <c r="N42" s="389">
        <v>0</v>
      </c>
      <c r="P42" s="715">
        <v>-15227.702543774096</v>
      </c>
      <c r="Q42" s="716"/>
      <c r="R42" s="716"/>
      <c r="S42" s="717"/>
      <c r="T42" s="389">
        <v>503683.42417077569</v>
      </c>
      <c r="U42" s="390">
        <v>76716.360631874719</v>
      </c>
      <c r="V42" s="395">
        <v>565172.0822588763</v>
      </c>
      <c r="W42" s="408">
        <v>15941.221237783629</v>
      </c>
      <c r="X42" s="177"/>
      <c r="Y42" s="177"/>
      <c r="Z42" s="15"/>
    </row>
    <row r="43" spans="1:26" x14ac:dyDescent="0.25">
      <c r="A43" s="108">
        <v>5473</v>
      </c>
      <c r="B43" s="116" t="s">
        <v>138</v>
      </c>
      <c r="C43" s="392">
        <v>-606312.04581794026</v>
      </c>
      <c r="D43" s="392">
        <v>0</v>
      </c>
      <c r="E43" s="393">
        <v>-104026.00854978536</v>
      </c>
      <c r="F43" s="389">
        <v>-710338.05436772562</v>
      </c>
      <c r="G43" s="392">
        <v>0</v>
      </c>
      <c r="H43" s="392">
        <v>0</v>
      </c>
      <c r="I43" s="392">
        <v>-143220</v>
      </c>
      <c r="J43" s="394">
        <v>-143220</v>
      </c>
      <c r="K43" s="392">
        <v>463954.48405545607</v>
      </c>
      <c r="L43" s="392">
        <v>119342.13161184825</v>
      </c>
      <c r="M43" s="15">
        <v>583296.61566730426</v>
      </c>
      <c r="N43" s="389">
        <v>0</v>
      </c>
      <c r="P43" s="715">
        <v>-270261.43870042136</v>
      </c>
      <c r="Q43" s="716"/>
      <c r="R43" s="716"/>
      <c r="S43" s="717"/>
      <c r="T43" s="389">
        <v>992809.52394355217</v>
      </c>
      <c r="U43" s="390">
        <v>151791.44432815799</v>
      </c>
      <c r="V43" s="395">
        <v>874339.52957128873</v>
      </c>
      <c r="W43" s="408">
        <v>31421.713538059059</v>
      </c>
      <c r="X43" s="177"/>
      <c r="Y43" s="177"/>
      <c r="Z43" s="15"/>
    </row>
    <row r="44" spans="1:26" x14ac:dyDescent="0.25">
      <c r="A44" s="108">
        <v>5474</v>
      </c>
      <c r="B44" s="116" t="s">
        <v>139</v>
      </c>
      <c r="C44" s="392">
        <v>-332631.65720834321</v>
      </c>
      <c r="D44" s="392">
        <v>0</v>
      </c>
      <c r="E44" s="393">
        <v>-32765.746658902317</v>
      </c>
      <c r="F44" s="389">
        <v>-365397.40386724554</v>
      </c>
      <c r="G44" s="392">
        <v>-35524</v>
      </c>
      <c r="H44" s="392">
        <v>0</v>
      </c>
      <c r="I44" s="392">
        <v>-50634</v>
      </c>
      <c r="J44" s="394">
        <v>-86158</v>
      </c>
      <c r="K44" s="392">
        <v>198702.54101614264</v>
      </c>
      <c r="L44" s="392">
        <v>50513.336254086309</v>
      </c>
      <c r="M44" s="15">
        <v>249215.87727022896</v>
      </c>
      <c r="N44" s="389">
        <v>-40700</v>
      </c>
      <c r="P44" s="715">
        <v>-243039.52659701658</v>
      </c>
      <c r="Q44" s="716"/>
      <c r="R44" s="716"/>
      <c r="S44" s="717"/>
      <c r="T44" s="389">
        <v>420221.43095557974</v>
      </c>
      <c r="U44" s="390">
        <v>64004.208388442683</v>
      </c>
      <c r="V44" s="395">
        <v>241186.11274700583</v>
      </c>
      <c r="W44" s="408">
        <v>13299.70866273663</v>
      </c>
      <c r="X44" s="177"/>
      <c r="Y44" s="177"/>
      <c r="Z44" s="15"/>
    </row>
    <row r="45" spans="1:26" x14ac:dyDescent="0.25">
      <c r="A45" s="108">
        <v>5475</v>
      </c>
      <c r="B45" s="116" t="s">
        <v>140</v>
      </c>
      <c r="C45" s="392">
        <v>-166039.79216387501</v>
      </c>
      <c r="D45" s="392">
        <v>0</v>
      </c>
      <c r="E45" s="393">
        <v>-8790.8270487449518</v>
      </c>
      <c r="F45" s="389">
        <v>-174830.61921261996</v>
      </c>
      <c r="G45" s="392">
        <v>-14881</v>
      </c>
      <c r="H45" s="392">
        <v>0</v>
      </c>
      <c r="I45" s="392">
        <v>-30109</v>
      </c>
      <c r="J45" s="394">
        <v>-44990</v>
      </c>
      <c r="K45" s="392">
        <v>72505.777091340744</v>
      </c>
      <c r="L45" s="392">
        <v>18432.118078858282</v>
      </c>
      <c r="M45" s="15">
        <v>90937.89517019903</v>
      </c>
      <c r="N45" s="389">
        <v>-18100</v>
      </c>
      <c r="P45" s="715">
        <v>-146982.72404242092</v>
      </c>
      <c r="Q45" s="716"/>
      <c r="R45" s="716"/>
      <c r="S45" s="717"/>
      <c r="T45" s="389">
        <v>153337.15032559261</v>
      </c>
      <c r="U45" s="390">
        <v>23354.884354212343</v>
      </c>
      <c r="V45" s="395">
        <v>29709.310637384035</v>
      </c>
      <c r="W45" s="408">
        <v>4853.0114750863459</v>
      </c>
      <c r="X45" s="177"/>
      <c r="Y45" s="177"/>
      <c r="Z45" s="15"/>
    </row>
    <row r="46" spans="1:26" x14ac:dyDescent="0.25">
      <c r="A46" s="108">
        <v>5476</v>
      </c>
      <c r="B46" s="116" t="s">
        <v>141</v>
      </c>
      <c r="C46" s="392">
        <v>-159531.57782578905</v>
      </c>
      <c r="D46" s="392">
        <v>0</v>
      </c>
      <c r="E46" s="393">
        <v>-25050.347249538288</v>
      </c>
      <c r="F46" s="389">
        <v>-184581.92507532734</v>
      </c>
      <c r="G46" s="392">
        <v>-12396</v>
      </c>
      <c r="H46" s="392">
        <v>0</v>
      </c>
      <c r="I46" s="392">
        <v>-18479</v>
      </c>
      <c r="J46" s="394">
        <v>-30875</v>
      </c>
      <c r="K46" s="392">
        <v>154648.39797330272</v>
      </c>
      <c r="L46" s="392">
        <v>39314.074636552163</v>
      </c>
      <c r="M46" s="15">
        <v>193962.47260985489</v>
      </c>
      <c r="N46" s="389">
        <v>0</v>
      </c>
      <c r="P46" s="715">
        <v>-21494.452465472452</v>
      </c>
      <c r="Q46" s="716"/>
      <c r="R46" s="716"/>
      <c r="S46" s="717"/>
      <c r="T46" s="389">
        <v>327054.55480838421</v>
      </c>
      <c r="U46" s="390">
        <v>49813.898907402268</v>
      </c>
      <c r="V46" s="395">
        <v>355374.00125031406</v>
      </c>
      <c r="W46" s="408">
        <v>10351.043462684167</v>
      </c>
      <c r="X46" s="177"/>
      <c r="Y46" s="177"/>
      <c r="Z46" s="15"/>
    </row>
    <row r="47" spans="1:26" x14ac:dyDescent="0.25">
      <c r="A47" s="108">
        <v>5477</v>
      </c>
      <c r="B47" s="116" t="s">
        <v>142</v>
      </c>
      <c r="C47" s="392">
        <v>-4072637.0691811475</v>
      </c>
      <c r="D47" s="392">
        <v>0</v>
      </c>
      <c r="E47" s="393">
        <v>-80553.199598803185</v>
      </c>
      <c r="F47" s="389">
        <v>-4153190.2687799507</v>
      </c>
      <c r="G47" s="392">
        <v>0</v>
      </c>
      <c r="H47" s="392">
        <v>0</v>
      </c>
      <c r="I47" s="392">
        <v>0</v>
      </c>
      <c r="J47" s="394">
        <v>0</v>
      </c>
      <c r="K47" s="392">
        <v>770605.80156854726</v>
      </c>
      <c r="L47" s="392">
        <v>556696.62957159325</v>
      </c>
      <c r="M47" s="15">
        <v>1327302.4311401406</v>
      </c>
      <c r="N47" s="389">
        <v>-194400</v>
      </c>
      <c r="P47" s="715">
        <v>-3020287.8376398101</v>
      </c>
      <c r="Q47" s="716"/>
      <c r="R47" s="716"/>
      <c r="S47" s="717"/>
      <c r="T47" s="389">
        <v>4631170.1351501765</v>
      </c>
      <c r="U47" s="390">
        <v>822020.83609909506</v>
      </c>
      <c r="V47" s="395">
        <v>2432903.1336094616</v>
      </c>
      <c r="W47" s="408">
        <v>146573.23265260784</v>
      </c>
      <c r="X47" s="177"/>
      <c r="Y47" s="177"/>
      <c r="Z47" s="15"/>
    </row>
    <row r="48" spans="1:26" x14ac:dyDescent="0.25">
      <c r="A48" s="108">
        <v>5479</v>
      </c>
      <c r="B48" s="116" t="s">
        <v>143</v>
      </c>
      <c r="C48" s="392">
        <v>-395271.4745757936</v>
      </c>
      <c r="D48" s="392">
        <v>0</v>
      </c>
      <c r="E48" s="393">
        <v>-61246.472869436839</v>
      </c>
      <c r="F48" s="389">
        <v>-456517.94744523044</v>
      </c>
      <c r="G48" s="392">
        <v>-29713</v>
      </c>
      <c r="H48" s="392">
        <v>0</v>
      </c>
      <c r="I48" s="392">
        <v>0</v>
      </c>
      <c r="J48" s="394">
        <v>-29713</v>
      </c>
      <c r="K48" s="392">
        <v>248263.4519393376</v>
      </c>
      <c r="L48" s="392">
        <v>63112.505573812225</v>
      </c>
      <c r="M48" s="15">
        <v>311375.95751314983</v>
      </c>
      <c r="N48" s="389">
        <v>-183700</v>
      </c>
      <c r="P48" s="715">
        <v>-358554.98993208061</v>
      </c>
      <c r="Q48" s="716"/>
      <c r="R48" s="716"/>
      <c r="S48" s="717"/>
      <c r="T48" s="389">
        <v>525034.16662117466</v>
      </c>
      <c r="U48" s="390">
        <v>79968.30655461314</v>
      </c>
      <c r="V48" s="395">
        <v>246447.48324370719</v>
      </c>
      <c r="W48" s="408">
        <v>16616.95701279565</v>
      </c>
      <c r="X48" s="177"/>
      <c r="Y48" s="177"/>
      <c r="Z48" s="15"/>
    </row>
    <row r="49" spans="1:26" x14ac:dyDescent="0.25">
      <c r="A49" s="108">
        <v>5480</v>
      </c>
      <c r="B49" s="116" t="s">
        <v>144</v>
      </c>
      <c r="C49" s="392">
        <v>-271560.20742193406</v>
      </c>
      <c r="D49" s="392">
        <v>0</v>
      </c>
      <c r="E49" s="393">
        <v>9213.5305964105064</v>
      </c>
      <c r="F49" s="389">
        <v>-262346.67682552355</v>
      </c>
      <c r="G49" s="392">
        <v>0</v>
      </c>
      <c r="H49" s="392">
        <v>0</v>
      </c>
      <c r="I49" s="392">
        <v>-147319</v>
      </c>
      <c r="J49" s="394">
        <v>-147319</v>
      </c>
      <c r="K49" s="392">
        <v>472529.66957758897</v>
      </c>
      <c r="L49" s="392">
        <v>123891.8316439715</v>
      </c>
      <c r="M49" s="15">
        <v>596421.50122156041</v>
      </c>
      <c r="N49" s="389">
        <v>0</v>
      </c>
      <c r="P49" s="715">
        <v>186755.82439603686</v>
      </c>
      <c r="Q49" s="716"/>
      <c r="R49" s="716"/>
      <c r="S49" s="717"/>
      <c r="T49" s="389">
        <v>1030658.5673783503</v>
      </c>
      <c r="U49" s="390">
        <v>158532.88355100557</v>
      </c>
      <c r="V49" s="395">
        <v>1375947.2753253926</v>
      </c>
      <c r="W49" s="408">
        <v>32619.608775580375</v>
      </c>
      <c r="X49" s="177"/>
      <c r="Y49" s="177"/>
      <c r="Z49" s="15"/>
    </row>
    <row r="50" spans="1:26" x14ac:dyDescent="0.25">
      <c r="A50" s="108">
        <v>5481</v>
      </c>
      <c r="B50" s="116" t="s">
        <v>145</v>
      </c>
      <c r="C50" s="392">
        <v>-136508.70443035322</v>
      </c>
      <c r="D50" s="392">
        <v>0</v>
      </c>
      <c r="E50" s="393">
        <v>-7734.8905731174309</v>
      </c>
      <c r="F50" s="389">
        <v>-144243.59500347066</v>
      </c>
      <c r="G50" s="392">
        <v>-12548</v>
      </c>
      <c r="H50" s="392">
        <v>0</v>
      </c>
      <c r="I50" s="392">
        <v>-28379</v>
      </c>
      <c r="J50" s="394">
        <v>-40927</v>
      </c>
      <c r="K50" s="392">
        <v>108758.6656370111</v>
      </c>
      <c r="L50" s="392">
        <v>27648.177118287425</v>
      </c>
      <c r="M50" s="15">
        <v>136406.84275529854</v>
      </c>
      <c r="N50" s="389">
        <v>0</v>
      </c>
      <c r="P50" s="715">
        <v>-48763.752248172124</v>
      </c>
      <c r="Q50" s="716"/>
      <c r="R50" s="716"/>
      <c r="S50" s="717"/>
      <c r="T50" s="389">
        <v>230005.72548838891</v>
      </c>
      <c r="U50" s="390">
        <v>35032.326531318511</v>
      </c>
      <c r="V50" s="395">
        <v>216274.2997715353</v>
      </c>
      <c r="W50" s="408">
        <v>7279.5172126295183</v>
      </c>
      <c r="X50" s="177"/>
      <c r="Y50" s="177"/>
      <c r="Z50" s="15"/>
    </row>
    <row r="51" spans="1:26" x14ac:dyDescent="0.25">
      <c r="A51" s="108">
        <v>5482</v>
      </c>
      <c r="B51" s="116" t="s">
        <v>146</v>
      </c>
      <c r="C51" s="392">
        <v>-194754.30668679907</v>
      </c>
      <c r="D51" s="392">
        <v>0</v>
      </c>
      <c r="E51" s="393">
        <v>27521.977584705455</v>
      </c>
      <c r="F51" s="389">
        <v>-167232.32910209362</v>
      </c>
      <c r="G51" s="392">
        <v>0</v>
      </c>
      <c r="H51" s="392">
        <v>0</v>
      </c>
      <c r="I51" s="392">
        <v>0</v>
      </c>
      <c r="J51" s="394">
        <v>0</v>
      </c>
      <c r="K51" s="392">
        <v>498914.85579953651</v>
      </c>
      <c r="L51" s="392">
        <v>137890.90866588918</v>
      </c>
      <c r="M51" s="15">
        <v>636805.76446542563</v>
      </c>
      <c r="N51" s="389">
        <v>0</v>
      </c>
      <c r="P51" s="715">
        <v>469573.43536333204</v>
      </c>
      <c r="Q51" s="716"/>
      <c r="R51" s="716"/>
      <c r="S51" s="717"/>
      <c r="T51" s="389">
        <v>1147117.1625623447</v>
      </c>
      <c r="U51" s="390">
        <v>179275.77346745966</v>
      </c>
      <c r="V51" s="395">
        <v>1795966.3713931364</v>
      </c>
      <c r="W51" s="408">
        <v>36305.440275645953</v>
      </c>
      <c r="X51" s="177"/>
      <c r="Y51" s="177"/>
      <c r="Z51" s="15"/>
    </row>
    <row r="52" spans="1:26" x14ac:dyDescent="0.25">
      <c r="A52" s="108">
        <v>5483</v>
      </c>
      <c r="B52" s="116" t="s">
        <v>147</v>
      </c>
      <c r="C52" s="392">
        <v>-190405.94527076953</v>
      </c>
      <c r="D52" s="392">
        <v>0</v>
      </c>
      <c r="E52" s="393">
        <v>-56262.624547782529</v>
      </c>
      <c r="F52" s="389">
        <v>-246668.56981855206</v>
      </c>
      <c r="G52" s="392">
        <v>-6885</v>
      </c>
      <c r="H52" s="392">
        <v>0</v>
      </c>
      <c r="I52" s="392">
        <v>-30004</v>
      </c>
      <c r="J52" s="394">
        <v>-36889</v>
      </c>
      <c r="K52" s="392">
        <v>146388.24615277024</v>
      </c>
      <c r="L52" s="392">
        <v>37214.213083264513</v>
      </c>
      <c r="M52" s="15">
        <v>183602.45923603475</v>
      </c>
      <c r="N52" s="389">
        <v>0</v>
      </c>
      <c r="P52" s="715">
        <v>-99955.110582517314</v>
      </c>
      <c r="Q52" s="716"/>
      <c r="R52" s="716"/>
      <c r="S52" s="717"/>
      <c r="T52" s="389">
        <v>309585.76553078508</v>
      </c>
      <c r="U52" s="390">
        <v>47153.21587970719</v>
      </c>
      <c r="V52" s="395">
        <v>256783.87082797496</v>
      </c>
      <c r="W52" s="408">
        <v>9798.1687376743303</v>
      </c>
      <c r="X52" s="177"/>
      <c r="Y52" s="177"/>
      <c r="Z52" s="15"/>
    </row>
    <row r="53" spans="1:26" x14ac:dyDescent="0.25">
      <c r="A53" s="108">
        <v>5484</v>
      </c>
      <c r="B53" s="116" t="s">
        <v>148</v>
      </c>
      <c r="C53" s="392">
        <v>-905807.35935882875</v>
      </c>
      <c r="D53" s="392">
        <v>0</v>
      </c>
      <c r="E53" s="393">
        <v>-93867.633037117921</v>
      </c>
      <c r="F53" s="389">
        <v>-999674.99239594664</v>
      </c>
      <c r="G53" s="392">
        <v>0</v>
      </c>
      <c r="H53" s="392">
        <v>0</v>
      </c>
      <c r="I53" s="392">
        <v>-39500</v>
      </c>
      <c r="J53" s="394">
        <v>-39500</v>
      </c>
      <c r="K53" s="392">
        <v>472969.4226812881</v>
      </c>
      <c r="L53" s="392">
        <v>124125.14959433679</v>
      </c>
      <c r="M53" s="15">
        <v>597094.57227562484</v>
      </c>
      <c r="N53" s="389">
        <v>-136100</v>
      </c>
      <c r="P53" s="715">
        <v>-578180.4201203218</v>
      </c>
      <c r="Q53" s="716"/>
      <c r="R53" s="716"/>
      <c r="S53" s="717"/>
      <c r="T53" s="389">
        <v>1032599.5439647502</v>
      </c>
      <c r="U53" s="390">
        <v>158878.59838294645</v>
      </c>
      <c r="V53" s="395">
        <v>613297.72222737491</v>
      </c>
      <c r="W53" s="408">
        <v>32681.039300581466</v>
      </c>
      <c r="X53" s="177"/>
      <c r="Y53" s="177"/>
      <c r="Z53" s="15"/>
    </row>
    <row r="54" spans="1:26" x14ac:dyDescent="0.25">
      <c r="A54" s="108">
        <v>5485</v>
      </c>
      <c r="B54" s="116" t="s">
        <v>149</v>
      </c>
      <c r="C54" s="392">
        <v>149260.16237440254</v>
      </c>
      <c r="D54" s="392">
        <v>0</v>
      </c>
      <c r="E54" s="393">
        <v>-79333.608770022096</v>
      </c>
      <c r="F54" s="389">
        <v>69926.553604380446</v>
      </c>
      <c r="G54" s="392">
        <v>-14234</v>
      </c>
      <c r="H54" s="392">
        <v>0</v>
      </c>
      <c r="I54" s="392">
        <v>-35358</v>
      </c>
      <c r="J54" s="394">
        <v>-49592</v>
      </c>
      <c r="K54" s="392">
        <v>251016.8358795151</v>
      </c>
      <c r="L54" s="392">
        <v>63812.459424908113</v>
      </c>
      <c r="M54" s="15">
        <v>314829.2953044232</v>
      </c>
      <c r="N54" s="389">
        <v>0</v>
      </c>
      <c r="P54" s="715">
        <v>335163.84890880366</v>
      </c>
      <c r="Q54" s="716"/>
      <c r="R54" s="716"/>
      <c r="S54" s="717"/>
      <c r="T54" s="389">
        <v>530857.09638037439</v>
      </c>
      <c r="U54" s="390">
        <v>80855.200897178176</v>
      </c>
      <c r="V54" s="395">
        <v>946876.1461863562</v>
      </c>
      <c r="W54" s="408">
        <v>16801.248587798931</v>
      </c>
      <c r="X54" s="177"/>
      <c r="Y54" s="177"/>
      <c r="Z54" s="15"/>
    </row>
    <row r="55" spans="1:26" x14ac:dyDescent="0.25">
      <c r="A55" s="108">
        <v>5486</v>
      </c>
      <c r="B55" s="116" t="s">
        <v>150</v>
      </c>
      <c r="C55" s="392">
        <v>-1011304.4130581403</v>
      </c>
      <c r="D55" s="392">
        <v>0</v>
      </c>
      <c r="E55" s="393">
        <v>-111527.54163945891</v>
      </c>
      <c r="F55" s="389">
        <v>-1122831.9546975992</v>
      </c>
      <c r="G55" s="392">
        <v>-81340</v>
      </c>
      <c r="H55" s="392">
        <v>-8411</v>
      </c>
      <c r="I55" s="392">
        <v>0</v>
      </c>
      <c r="J55" s="394">
        <v>-89751</v>
      </c>
      <c r="K55" s="392">
        <v>478246.45992567763</v>
      </c>
      <c r="L55" s="392">
        <v>126924.96499872033</v>
      </c>
      <c r="M55" s="15">
        <v>605171.42492439796</v>
      </c>
      <c r="N55" s="389">
        <v>-184600</v>
      </c>
      <c r="P55" s="715">
        <v>-792011.52977320121</v>
      </c>
      <c r="Q55" s="716"/>
      <c r="R55" s="716"/>
      <c r="S55" s="717"/>
      <c r="T55" s="389">
        <v>1055891.2630015491</v>
      </c>
      <c r="U55" s="390">
        <v>163027.17636623728</v>
      </c>
      <c r="V55" s="395">
        <v>426906.90959458513</v>
      </c>
      <c r="W55" s="408">
        <v>33418.205600594585</v>
      </c>
      <c r="X55" s="177"/>
      <c r="Y55" s="177"/>
      <c r="Z55" s="15"/>
    </row>
    <row r="56" spans="1:26" x14ac:dyDescent="0.25">
      <c r="A56" s="108">
        <v>5487</v>
      </c>
      <c r="B56" s="116" t="s">
        <v>151</v>
      </c>
      <c r="C56" s="392">
        <v>-430614.64956596453</v>
      </c>
      <c r="D56" s="392">
        <v>0</v>
      </c>
      <c r="E56" s="393">
        <v>-47069.174329470654</v>
      </c>
      <c r="F56" s="389">
        <v>-477683.8238954352</v>
      </c>
      <c r="G56" s="392">
        <v>0</v>
      </c>
      <c r="H56" s="392">
        <v>0</v>
      </c>
      <c r="I56" s="392">
        <v>0</v>
      </c>
      <c r="J56" s="394">
        <v>0</v>
      </c>
      <c r="K56" s="392">
        <v>217058.4339506593</v>
      </c>
      <c r="L56" s="392">
        <v>55179.695261392204</v>
      </c>
      <c r="M56" s="15">
        <v>272238.12921205151</v>
      </c>
      <c r="N56" s="389">
        <v>0</v>
      </c>
      <c r="P56" s="715">
        <v>-205445.69468338368</v>
      </c>
      <c r="Q56" s="716"/>
      <c r="R56" s="716"/>
      <c r="S56" s="717"/>
      <c r="T56" s="389">
        <v>459040.96268357785</v>
      </c>
      <c r="U56" s="390">
        <v>69916.837338876183</v>
      </c>
      <c r="V56" s="395">
        <v>323512.10533907032</v>
      </c>
      <c r="W56" s="408">
        <v>14528.319162758489</v>
      </c>
      <c r="X56" s="177"/>
      <c r="Y56" s="177"/>
      <c r="Z56" s="15"/>
    </row>
    <row r="57" spans="1:26" x14ac:dyDescent="0.25">
      <c r="A57" s="108">
        <v>5488</v>
      </c>
      <c r="B57" s="116" t="s">
        <v>152</v>
      </c>
      <c r="C57" s="392">
        <v>-67720.348344679718</v>
      </c>
      <c r="D57" s="392">
        <v>0</v>
      </c>
      <c r="E57" s="393">
        <v>-8252.2362729093475</v>
      </c>
      <c r="F57" s="389">
        <v>-75972.584617589062</v>
      </c>
      <c r="G57" s="392">
        <v>0</v>
      </c>
      <c r="H57" s="392">
        <v>0</v>
      </c>
      <c r="I57" s="392">
        <v>0</v>
      </c>
      <c r="J57" s="394">
        <v>0</v>
      </c>
      <c r="K57" s="392">
        <v>29369.428695226627</v>
      </c>
      <c r="L57" s="392">
        <v>7466.1744116894315</v>
      </c>
      <c r="M57" s="15">
        <v>36835.60310691606</v>
      </c>
      <c r="N57" s="389">
        <v>0</v>
      </c>
      <c r="P57" s="715">
        <v>-39136.981510673002</v>
      </c>
      <c r="Q57" s="716"/>
      <c r="R57" s="716"/>
      <c r="S57" s="717"/>
      <c r="T57" s="389">
        <v>62111.250764797005</v>
      </c>
      <c r="U57" s="390">
        <v>9460.2063206936073</v>
      </c>
      <c r="V57" s="395">
        <v>32434.47557481761</v>
      </c>
      <c r="W57" s="408">
        <v>1965.7768000349754</v>
      </c>
      <c r="X57" s="177"/>
      <c r="Y57" s="177"/>
      <c r="Z57" s="15"/>
    </row>
    <row r="58" spans="1:26" x14ac:dyDescent="0.25">
      <c r="A58" s="108">
        <v>5489</v>
      </c>
      <c r="B58" s="116" t="s">
        <v>153</v>
      </c>
      <c r="C58" s="392">
        <v>1150282.3169224828</v>
      </c>
      <c r="D58" s="392">
        <v>0</v>
      </c>
      <c r="E58" s="393">
        <v>110222.50052040583</v>
      </c>
      <c r="F58" s="389">
        <v>1260504.8174428886</v>
      </c>
      <c r="G58" s="392">
        <v>0</v>
      </c>
      <c r="H58" s="392">
        <v>0</v>
      </c>
      <c r="I58" s="392">
        <v>0</v>
      </c>
      <c r="J58" s="394">
        <v>0</v>
      </c>
      <c r="K58" s="392">
        <v>374460.21586413949</v>
      </c>
      <c r="L58" s="392">
        <v>95193.723749040248</v>
      </c>
      <c r="M58" s="15">
        <v>469653.93961317977</v>
      </c>
      <c r="N58" s="389">
        <v>0</v>
      </c>
      <c r="P58" s="715">
        <v>1730158.7570560684</v>
      </c>
      <c r="Q58" s="716"/>
      <c r="R58" s="716"/>
      <c r="S58" s="717"/>
      <c r="T58" s="389">
        <v>791918.44725116179</v>
      </c>
      <c r="U58" s="390">
        <v>120617.63058884349</v>
      </c>
      <c r="V58" s="395">
        <v>2642694.8348960737</v>
      </c>
      <c r="W58" s="408">
        <v>25063.654200445937</v>
      </c>
      <c r="X58" s="177"/>
      <c r="Y58" s="177"/>
      <c r="Z58" s="15"/>
    </row>
    <row r="59" spans="1:26" x14ac:dyDescent="0.25">
      <c r="A59" s="108">
        <v>5490</v>
      </c>
      <c r="B59" s="116" t="s">
        <v>154</v>
      </c>
      <c r="C59" s="392">
        <v>-282765.29401711089</v>
      </c>
      <c r="D59" s="392">
        <v>0</v>
      </c>
      <c r="E59" s="393">
        <v>-52260.82457896995</v>
      </c>
      <c r="F59" s="389">
        <v>-335026.11859608087</v>
      </c>
      <c r="G59" s="392">
        <v>-46111</v>
      </c>
      <c r="H59" s="392">
        <v>0</v>
      </c>
      <c r="I59" s="392">
        <v>-5399</v>
      </c>
      <c r="J59" s="394">
        <v>-51510</v>
      </c>
      <c r="K59" s="392">
        <v>136292.50503878607</v>
      </c>
      <c r="L59" s="392">
        <v>34647.715629246268</v>
      </c>
      <c r="M59" s="15">
        <v>170940.22066803233</v>
      </c>
      <c r="N59" s="389">
        <v>0</v>
      </c>
      <c r="P59" s="715">
        <v>-215595.89792804854</v>
      </c>
      <c r="Q59" s="716"/>
      <c r="R59" s="716"/>
      <c r="S59" s="717"/>
      <c r="T59" s="389">
        <v>288235.0230803861</v>
      </c>
      <c r="U59" s="390">
        <v>43901.269956968768</v>
      </c>
      <c r="V59" s="395">
        <v>116540.39510930634</v>
      </c>
      <c r="W59" s="408">
        <v>9122.4329626623075</v>
      </c>
      <c r="X59" s="177"/>
      <c r="Y59" s="177"/>
      <c r="Z59" s="15"/>
    </row>
    <row r="60" spans="1:26" x14ac:dyDescent="0.25">
      <c r="A60" s="108">
        <v>5491</v>
      </c>
      <c r="B60" s="116" t="s">
        <v>155</v>
      </c>
      <c r="C60" s="392">
        <v>-517595.03486992972</v>
      </c>
      <c r="D60" s="392">
        <v>0</v>
      </c>
      <c r="E60" s="393">
        <v>-67007.992931811648</v>
      </c>
      <c r="F60" s="389">
        <v>-584603.02780174138</v>
      </c>
      <c r="G60" s="392">
        <v>-168717</v>
      </c>
      <c r="H60" s="392">
        <v>-43267</v>
      </c>
      <c r="I60" s="392">
        <v>0</v>
      </c>
      <c r="J60" s="394">
        <v>-211984</v>
      </c>
      <c r="K60" s="392">
        <v>228071.96971136928</v>
      </c>
      <c r="L60" s="392">
        <v>57979.510665775742</v>
      </c>
      <c r="M60" s="15">
        <v>286051.480377145</v>
      </c>
      <c r="N60" s="389">
        <v>0</v>
      </c>
      <c r="P60" s="715">
        <v>-510535.54742459639</v>
      </c>
      <c r="Q60" s="716"/>
      <c r="R60" s="716"/>
      <c r="S60" s="717"/>
      <c r="T60" s="389">
        <v>482332.68172037677</v>
      </c>
      <c r="U60" s="390">
        <v>73464.414709136297</v>
      </c>
      <c r="V60" s="395">
        <v>45261.549004916684</v>
      </c>
      <c r="W60" s="408">
        <v>15265.485462771605</v>
      </c>
      <c r="X60" s="177"/>
      <c r="Y60" s="177"/>
      <c r="Z60" s="15"/>
    </row>
    <row r="61" spans="1:26" x14ac:dyDescent="0.25">
      <c r="A61" s="108">
        <v>5492</v>
      </c>
      <c r="B61" s="116" t="s">
        <v>156</v>
      </c>
      <c r="C61" s="392">
        <v>8062123.8708238425</v>
      </c>
      <c r="D61" s="392">
        <v>0</v>
      </c>
      <c r="E61" s="393">
        <v>-77112.857727168637</v>
      </c>
      <c r="F61" s="389">
        <v>7985011.0130966734</v>
      </c>
      <c r="G61" s="392">
        <v>-193820</v>
      </c>
      <c r="H61" s="392">
        <v>-116851</v>
      </c>
      <c r="I61" s="392">
        <v>0</v>
      </c>
      <c r="J61" s="394">
        <v>-310671</v>
      </c>
      <c r="K61" s="392">
        <v>441459.22507512523</v>
      </c>
      <c r="L61" s="392">
        <v>112225.93412570677</v>
      </c>
      <c r="M61" s="15">
        <v>553685.15920083201</v>
      </c>
      <c r="N61" s="389">
        <v>0</v>
      </c>
      <c r="P61" s="715">
        <v>8228025.1722975057</v>
      </c>
      <c r="Q61" s="716"/>
      <c r="R61" s="716"/>
      <c r="S61" s="717"/>
      <c r="T61" s="389">
        <v>933609.73805835494</v>
      </c>
      <c r="U61" s="390">
        <v>142198.72625792579</v>
      </c>
      <c r="V61" s="395">
        <v>9303833.6366137862</v>
      </c>
      <c r="W61" s="408">
        <v>29548.082525525722</v>
      </c>
      <c r="X61" s="177"/>
      <c r="Y61" s="177"/>
      <c r="Z61" s="15"/>
    </row>
    <row r="62" spans="1:26" x14ac:dyDescent="0.25">
      <c r="A62" s="108">
        <v>5493</v>
      </c>
      <c r="B62" s="116" t="s">
        <v>157</v>
      </c>
      <c r="C62" s="392">
        <v>-490162.67777028534</v>
      </c>
      <c r="D62" s="392">
        <v>0</v>
      </c>
      <c r="E62" s="393">
        <v>-22334.468382104285</v>
      </c>
      <c r="F62" s="389">
        <v>-512497.14615238964</v>
      </c>
      <c r="G62" s="392">
        <v>-16238</v>
      </c>
      <c r="H62" s="392">
        <v>0</v>
      </c>
      <c r="I62" s="392">
        <v>0</v>
      </c>
      <c r="J62" s="394">
        <v>-16238</v>
      </c>
      <c r="K62" s="392">
        <v>229448.661681458</v>
      </c>
      <c r="L62" s="392">
        <v>58329.487591323683</v>
      </c>
      <c r="M62" s="15">
        <v>287778.14927278168</v>
      </c>
      <c r="N62" s="389">
        <v>0</v>
      </c>
      <c r="P62" s="715">
        <v>-240956.99687960802</v>
      </c>
      <c r="Q62" s="716"/>
      <c r="R62" s="716"/>
      <c r="S62" s="717"/>
      <c r="T62" s="389">
        <v>485244.14659997658</v>
      </c>
      <c r="U62" s="390">
        <v>73907.861880418801</v>
      </c>
      <c r="V62" s="395">
        <v>318195.01160078734</v>
      </c>
      <c r="W62" s="408">
        <v>15357.631250273245</v>
      </c>
      <c r="X62" s="177"/>
      <c r="Y62" s="177"/>
      <c r="Z62" s="15"/>
    </row>
    <row r="63" spans="1:26" x14ac:dyDescent="0.25">
      <c r="A63" s="108">
        <v>5495</v>
      </c>
      <c r="B63" s="116" t="s">
        <v>158</v>
      </c>
      <c r="C63" s="392">
        <v>-3196264.9672882976</v>
      </c>
      <c r="D63" s="392">
        <v>0</v>
      </c>
      <c r="E63" s="393">
        <v>-345839.15682870313</v>
      </c>
      <c r="F63" s="389">
        <v>-3542104.124117001</v>
      </c>
      <c r="G63" s="392">
        <v>0</v>
      </c>
      <c r="H63" s="392">
        <v>0</v>
      </c>
      <c r="I63" s="392">
        <v>0</v>
      </c>
      <c r="J63" s="394">
        <v>0</v>
      </c>
      <c r="K63" s="392">
        <v>884270.69767535711</v>
      </c>
      <c r="L63" s="392">
        <v>373192.06160928891</v>
      </c>
      <c r="M63" s="15">
        <v>1257462.759284646</v>
      </c>
      <c r="N63" s="389">
        <v>-179200</v>
      </c>
      <c r="P63" s="715">
        <v>-2463841.3648323547</v>
      </c>
      <c r="Q63" s="716"/>
      <c r="R63" s="716"/>
      <c r="S63" s="717"/>
      <c r="T63" s="389">
        <v>3104592.0499466504</v>
      </c>
      <c r="U63" s="390">
        <v>530420.82985471527</v>
      </c>
      <c r="V63" s="395">
        <v>1171171.5149690108</v>
      </c>
      <c r="W63" s="408">
        <v>98258.124739248218</v>
      </c>
      <c r="X63" s="177"/>
      <c r="Y63" s="177"/>
      <c r="Z63" s="15"/>
    </row>
    <row r="64" spans="1:26" x14ac:dyDescent="0.25">
      <c r="A64" s="108">
        <v>5496</v>
      </c>
      <c r="B64" s="116" t="s">
        <v>159</v>
      </c>
      <c r="C64" s="392">
        <v>-1360266.8337964579</v>
      </c>
      <c r="D64" s="392">
        <v>0</v>
      </c>
      <c r="E64" s="393">
        <v>-140892.64503523204</v>
      </c>
      <c r="F64" s="389">
        <v>-1501159.4788316898</v>
      </c>
      <c r="G64" s="392">
        <v>0</v>
      </c>
      <c r="H64" s="392">
        <v>0</v>
      </c>
      <c r="I64" s="392">
        <v>-150078</v>
      </c>
      <c r="J64" s="394">
        <v>-150078</v>
      </c>
      <c r="K64" s="392">
        <v>656566.34347567323</v>
      </c>
      <c r="L64" s="392">
        <v>221535.39387184734</v>
      </c>
      <c r="M64" s="15">
        <v>878101.73734752054</v>
      </c>
      <c r="N64" s="389">
        <v>0</v>
      </c>
      <c r="P64" s="715">
        <v>-773135.74148416927</v>
      </c>
      <c r="Q64" s="716"/>
      <c r="R64" s="716"/>
      <c r="S64" s="717"/>
      <c r="T64" s="389">
        <v>1842957.2687867112</v>
      </c>
      <c r="U64" s="390">
        <v>303214.54071827285</v>
      </c>
      <c r="V64" s="395">
        <v>1373036.0680208146</v>
      </c>
      <c r="W64" s="408">
        <v>58328.283488537789</v>
      </c>
      <c r="X64" s="177"/>
      <c r="Y64" s="177"/>
      <c r="Z64" s="15"/>
    </row>
    <row r="65" spans="1:26" x14ac:dyDescent="0.25">
      <c r="A65" s="108">
        <v>5497</v>
      </c>
      <c r="B65" s="116" t="s">
        <v>160</v>
      </c>
      <c r="C65" s="392">
        <v>-1062701.0141752327</v>
      </c>
      <c r="D65" s="392">
        <v>0</v>
      </c>
      <c r="E65" s="393">
        <v>8746.7826763428457</v>
      </c>
      <c r="F65" s="389">
        <v>-1053954.2314988899</v>
      </c>
      <c r="G65" s="392">
        <v>0</v>
      </c>
      <c r="H65" s="392">
        <v>0</v>
      </c>
      <c r="I65" s="392">
        <v>0</v>
      </c>
      <c r="J65" s="394">
        <v>0</v>
      </c>
      <c r="K65" s="392">
        <v>424938.92143406026</v>
      </c>
      <c r="L65" s="392">
        <v>108026.21101913146</v>
      </c>
      <c r="M65" s="15">
        <v>532965.13245319168</v>
      </c>
      <c r="N65" s="389">
        <v>0</v>
      </c>
      <c r="P65" s="715">
        <v>-520989.09904569818</v>
      </c>
      <c r="Q65" s="716"/>
      <c r="R65" s="716"/>
      <c r="S65" s="717"/>
      <c r="T65" s="389">
        <v>898672.15950315667</v>
      </c>
      <c r="U65" s="390">
        <v>136877.36020253564</v>
      </c>
      <c r="V65" s="395">
        <v>514560.42065999412</v>
      </c>
      <c r="W65" s="408">
        <v>28442.333075506049</v>
      </c>
      <c r="X65" s="177"/>
      <c r="Y65" s="177"/>
      <c r="Z65" s="15"/>
    </row>
    <row r="66" spans="1:26" x14ac:dyDescent="0.25">
      <c r="A66" s="108">
        <v>5498</v>
      </c>
      <c r="B66" s="116" t="s">
        <v>161</v>
      </c>
      <c r="C66" s="392">
        <v>-2628562.3830193174</v>
      </c>
      <c r="D66" s="392">
        <v>0</v>
      </c>
      <c r="E66" s="393">
        <v>-289489.20677017805</v>
      </c>
      <c r="F66" s="389">
        <v>-2918051.5897894953</v>
      </c>
      <c r="G66" s="392">
        <v>0</v>
      </c>
      <c r="H66" s="392">
        <v>0</v>
      </c>
      <c r="I66" s="392">
        <v>0</v>
      </c>
      <c r="J66" s="394">
        <v>0</v>
      </c>
      <c r="K66" s="392">
        <v>810479.9297703671</v>
      </c>
      <c r="L66" s="392">
        <v>303196.67649970052</v>
      </c>
      <c r="M66" s="15">
        <v>1113676.6062700676</v>
      </c>
      <c r="N66" s="389">
        <v>-39500</v>
      </c>
      <c r="P66" s="715">
        <v>-1843874.9835194277</v>
      </c>
      <c r="Q66" s="716"/>
      <c r="R66" s="716"/>
      <c r="S66" s="717"/>
      <c r="T66" s="389">
        <v>2522299.0740266782</v>
      </c>
      <c r="U66" s="390">
        <v>424214.73189758835</v>
      </c>
      <c r="V66" s="395">
        <v>1102638.8224048389</v>
      </c>
      <c r="W66" s="408">
        <v>79828.967238920333</v>
      </c>
      <c r="X66" s="177"/>
      <c r="Y66" s="177"/>
      <c r="Z66" s="15"/>
    </row>
    <row r="67" spans="1:26" x14ac:dyDescent="0.25">
      <c r="A67" s="108">
        <v>5499</v>
      </c>
      <c r="B67" s="116" t="s">
        <v>162</v>
      </c>
      <c r="C67" s="392">
        <v>-142064.9944661184</v>
      </c>
      <c r="D67" s="392">
        <v>0</v>
      </c>
      <c r="E67" s="393">
        <v>3686.3229687735875</v>
      </c>
      <c r="F67" s="389">
        <v>-138378.6714973448</v>
      </c>
      <c r="G67" s="392">
        <v>-628</v>
      </c>
      <c r="H67" s="392">
        <v>0</v>
      </c>
      <c r="I67" s="392">
        <v>-16494</v>
      </c>
      <c r="J67" s="394">
        <v>-17122</v>
      </c>
      <c r="K67" s="392">
        <v>225318.58577119181</v>
      </c>
      <c r="L67" s="392">
        <v>57279.556814679854</v>
      </c>
      <c r="M67" s="15">
        <v>282598.14258587168</v>
      </c>
      <c r="N67" s="389">
        <v>0</v>
      </c>
      <c r="P67" s="715">
        <v>127097.47108852689</v>
      </c>
      <c r="Q67" s="716"/>
      <c r="R67" s="716"/>
      <c r="S67" s="717"/>
      <c r="T67" s="389">
        <v>476509.75196117704</v>
      </c>
      <c r="U67" s="390">
        <v>72577.520366571262</v>
      </c>
      <c r="V67" s="395">
        <v>676184.74341627525</v>
      </c>
      <c r="W67" s="408">
        <v>15081.193887768326</v>
      </c>
      <c r="X67" s="177"/>
      <c r="Y67" s="177"/>
      <c r="Z67" s="15"/>
    </row>
    <row r="68" spans="1:26" x14ac:dyDescent="0.25">
      <c r="A68" s="108">
        <v>5501</v>
      </c>
      <c r="B68" s="116" t="s">
        <v>163</v>
      </c>
      <c r="C68" s="392">
        <v>-235180.16298683843</v>
      </c>
      <c r="D68" s="392">
        <v>0</v>
      </c>
      <c r="E68" s="393">
        <v>-91586.361483521876</v>
      </c>
      <c r="F68" s="389">
        <v>-326766.52447036031</v>
      </c>
      <c r="G68" s="392">
        <v>0</v>
      </c>
      <c r="H68" s="392">
        <v>0</v>
      </c>
      <c r="I68" s="392">
        <v>-33632</v>
      </c>
      <c r="J68" s="394">
        <v>-33632</v>
      </c>
      <c r="K68" s="392">
        <v>502432.88062912953</v>
      </c>
      <c r="L68" s="392">
        <v>139757.45226881155</v>
      </c>
      <c r="M68" s="15">
        <v>642190.33289794112</v>
      </c>
      <c r="N68" s="389">
        <v>0</v>
      </c>
      <c r="P68" s="715">
        <v>281791.80842758081</v>
      </c>
      <c r="Q68" s="716"/>
      <c r="R68" s="716"/>
      <c r="S68" s="717"/>
      <c r="T68" s="389">
        <v>1162644.975253544</v>
      </c>
      <c r="U68" s="390">
        <v>182041.49212298688</v>
      </c>
      <c r="V68" s="395">
        <v>1626478.2758041117</v>
      </c>
      <c r="W68" s="408">
        <v>36796.884475654697</v>
      </c>
      <c r="X68" s="177"/>
      <c r="Y68" s="177"/>
      <c r="Z68" s="15"/>
    </row>
    <row r="69" spans="1:26" x14ac:dyDescent="0.25">
      <c r="A69" s="108">
        <v>5503</v>
      </c>
      <c r="B69" s="116" t="s">
        <v>164</v>
      </c>
      <c r="C69" s="392">
        <v>670619.21600720857</v>
      </c>
      <c r="D69" s="392">
        <v>0</v>
      </c>
      <c r="E69" s="393">
        <v>-69708.170196982654</v>
      </c>
      <c r="F69" s="389">
        <v>600911.04581022589</v>
      </c>
      <c r="G69" s="392">
        <v>0</v>
      </c>
      <c r="H69" s="392">
        <v>0</v>
      </c>
      <c r="I69" s="392">
        <v>0</v>
      </c>
      <c r="J69" s="394">
        <v>0</v>
      </c>
      <c r="K69" s="392">
        <v>532775.84478436923</v>
      </c>
      <c r="L69" s="392">
        <v>155856.39084401689</v>
      </c>
      <c r="M69" s="15">
        <v>688632.23562838614</v>
      </c>
      <c r="N69" s="389">
        <v>0</v>
      </c>
      <c r="P69" s="715">
        <v>1289543.2814386119</v>
      </c>
      <c r="Q69" s="716"/>
      <c r="R69" s="716"/>
      <c r="S69" s="717"/>
      <c r="T69" s="389">
        <v>1296572.3597151374</v>
      </c>
      <c r="U69" s="390">
        <v>205895.81552690908</v>
      </c>
      <c r="V69" s="395">
        <v>2792011.4566806583</v>
      </c>
      <c r="W69" s="408">
        <v>41035.590700730114</v>
      </c>
      <c r="X69" s="177"/>
      <c r="Y69" s="177"/>
      <c r="Z69" s="15"/>
    </row>
    <row r="70" spans="1:26" x14ac:dyDescent="0.25">
      <c r="A70" s="108">
        <v>5511</v>
      </c>
      <c r="B70" s="116" t="s">
        <v>165</v>
      </c>
      <c r="C70" s="392">
        <v>-409529.05786817189</v>
      </c>
      <c r="D70" s="392">
        <v>0</v>
      </c>
      <c r="E70" s="393">
        <v>-79239.134865626169</v>
      </c>
      <c r="F70" s="389">
        <v>-488768.19273379806</v>
      </c>
      <c r="G70" s="392">
        <v>0</v>
      </c>
      <c r="H70" s="392">
        <v>0</v>
      </c>
      <c r="I70" s="392">
        <v>0</v>
      </c>
      <c r="J70" s="394">
        <v>0</v>
      </c>
      <c r="K70" s="392">
        <v>612371.15655391093</v>
      </c>
      <c r="L70" s="392">
        <v>198086.93986013523</v>
      </c>
      <c r="M70" s="15">
        <v>810458.09641404613</v>
      </c>
      <c r="N70" s="389">
        <v>-58900</v>
      </c>
      <c r="P70" s="715">
        <v>262789.90368024807</v>
      </c>
      <c r="Q70" s="716"/>
      <c r="R70" s="716"/>
      <c r="S70" s="717"/>
      <c r="T70" s="389">
        <v>1647889.1218535206</v>
      </c>
      <c r="U70" s="390">
        <v>268470.20010821224</v>
      </c>
      <c r="V70" s="395">
        <v>2179149.2256419812</v>
      </c>
      <c r="W70" s="408">
        <v>52154.515725927944</v>
      </c>
      <c r="X70" s="177"/>
      <c r="Y70" s="177"/>
      <c r="Z70" s="15"/>
    </row>
    <row r="71" spans="1:26" x14ac:dyDescent="0.25">
      <c r="A71" s="108">
        <v>5512</v>
      </c>
      <c r="B71" s="116" t="s">
        <v>166</v>
      </c>
      <c r="C71" s="392">
        <v>-1172408.701324661</v>
      </c>
      <c r="D71" s="392">
        <v>0</v>
      </c>
      <c r="E71" s="393">
        <v>-150487.49629639738</v>
      </c>
      <c r="F71" s="389">
        <v>-1322896.1976210584</v>
      </c>
      <c r="G71" s="392">
        <v>0</v>
      </c>
      <c r="H71" s="392">
        <v>0</v>
      </c>
      <c r="I71" s="392">
        <v>0</v>
      </c>
      <c r="J71" s="394">
        <v>0</v>
      </c>
      <c r="K71" s="392">
        <v>531456.58547327179</v>
      </c>
      <c r="L71" s="392">
        <v>155156.43699292099</v>
      </c>
      <c r="M71" s="15">
        <v>686613.02246619272</v>
      </c>
      <c r="N71" s="389">
        <v>-192200</v>
      </c>
      <c r="P71" s="715">
        <v>-828483.17515486572</v>
      </c>
      <c r="Q71" s="716"/>
      <c r="R71" s="716"/>
      <c r="S71" s="717"/>
      <c r="T71" s="389">
        <v>1290749.4299559377</v>
      </c>
      <c r="U71" s="390">
        <v>204858.67103108636</v>
      </c>
      <c r="V71" s="395">
        <v>667124.9258321583</v>
      </c>
      <c r="W71" s="408">
        <v>40851.29912572683</v>
      </c>
      <c r="X71" s="177"/>
      <c r="Y71" s="177"/>
      <c r="Z71" s="15"/>
    </row>
    <row r="72" spans="1:26" x14ac:dyDescent="0.25">
      <c r="A72" s="108">
        <v>5514</v>
      </c>
      <c r="B72" s="116" t="s">
        <v>167</v>
      </c>
      <c r="C72" s="392">
        <v>-1169518.9264952035</v>
      </c>
      <c r="D72" s="392">
        <v>0</v>
      </c>
      <c r="E72" s="393">
        <v>-127823.9185010794</v>
      </c>
      <c r="F72" s="389">
        <v>-1297342.8449962828</v>
      </c>
      <c r="G72" s="392">
        <v>0</v>
      </c>
      <c r="H72" s="392">
        <v>-36552</v>
      </c>
      <c r="I72" s="392">
        <v>-105343</v>
      </c>
      <c r="J72" s="394">
        <v>-141895</v>
      </c>
      <c r="K72" s="392">
        <v>542010.65996205085</v>
      </c>
      <c r="L72" s="392">
        <v>160756.06780168807</v>
      </c>
      <c r="M72" s="15">
        <v>702766.72776373895</v>
      </c>
      <c r="N72" s="389">
        <v>0</v>
      </c>
      <c r="P72" s="715">
        <v>-736471.11723254388</v>
      </c>
      <c r="Q72" s="716"/>
      <c r="R72" s="716"/>
      <c r="S72" s="717"/>
      <c r="T72" s="389">
        <v>1337332.8680295355</v>
      </c>
      <c r="U72" s="390">
        <v>213155.82699766799</v>
      </c>
      <c r="V72" s="395">
        <v>814017.57779465965</v>
      </c>
      <c r="W72" s="408">
        <v>42325.631725753061</v>
      </c>
      <c r="X72" s="177"/>
      <c r="Y72" s="177"/>
      <c r="Z72" s="15"/>
    </row>
    <row r="73" spans="1:26" x14ac:dyDescent="0.25">
      <c r="A73" s="108">
        <v>5515</v>
      </c>
      <c r="B73" s="116" t="s">
        <v>168</v>
      </c>
      <c r="C73" s="392">
        <v>-581999.34980648442</v>
      </c>
      <c r="D73" s="392">
        <v>0</v>
      </c>
      <c r="E73" s="393">
        <v>-94662.977370438224</v>
      </c>
      <c r="F73" s="389">
        <v>-676662.3271769227</v>
      </c>
      <c r="G73" s="392">
        <v>0</v>
      </c>
      <c r="H73" s="392">
        <v>-106</v>
      </c>
      <c r="I73" s="392">
        <v>-18435</v>
      </c>
      <c r="J73" s="394">
        <v>-18541</v>
      </c>
      <c r="K73" s="392">
        <v>409795.30976308405</v>
      </c>
      <c r="L73" s="392">
        <v>104176.4648381041</v>
      </c>
      <c r="M73" s="15">
        <v>513971.77460118814</v>
      </c>
      <c r="N73" s="389">
        <v>-6500</v>
      </c>
      <c r="P73" s="715">
        <v>-187731.55257573456</v>
      </c>
      <c r="Q73" s="716"/>
      <c r="R73" s="716"/>
      <c r="S73" s="717"/>
      <c r="T73" s="389">
        <v>866646.04582755826</v>
      </c>
      <c r="U73" s="390">
        <v>131999.44131842797</v>
      </c>
      <c r="V73" s="395">
        <v>810913.93457025173</v>
      </c>
      <c r="W73" s="408">
        <v>27428.729412988017</v>
      </c>
      <c r="X73" s="177"/>
      <c r="Y73" s="177"/>
      <c r="Z73" s="15"/>
    </row>
    <row r="74" spans="1:26" x14ac:dyDescent="0.25">
      <c r="A74" s="108">
        <v>5516</v>
      </c>
      <c r="B74" s="116" t="s">
        <v>169</v>
      </c>
      <c r="C74" s="392">
        <v>-958927.53982010775</v>
      </c>
      <c r="D74" s="392">
        <v>0</v>
      </c>
      <c r="E74" s="393">
        <v>-281301.07021658204</v>
      </c>
      <c r="F74" s="389">
        <v>-1240228.6100366898</v>
      </c>
      <c r="G74" s="392">
        <v>0</v>
      </c>
      <c r="H74" s="392">
        <v>-1136</v>
      </c>
      <c r="I74" s="392">
        <v>0</v>
      </c>
      <c r="J74" s="394">
        <v>-1136</v>
      </c>
      <c r="K74" s="392">
        <v>839943.3877182086</v>
      </c>
      <c r="L74" s="392">
        <v>318828.97917417524</v>
      </c>
      <c r="M74" s="15">
        <v>1158772.3668923839</v>
      </c>
      <c r="N74" s="389">
        <v>-24100</v>
      </c>
      <c r="P74" s="715">
        <v>-106692.24314430589</v>
      </c>
      <c r="Q74" s="716"/>
      <c r="R74" s="716"/>
      <c r="S74" s="717"/>
      <c r="T74" s="389">
        <v>2652344.5053154719</v>
      </c>
      <c r="U74" s="390">
        <v>447377.62563762878</v>
      </c>
      <c r="V74" s="395">
        <v>2993029.8878087946</v>
      </c>
      <c r="W74" s="408">
        <v>83944.812413993553</v>
      </c>
      <c r="X74" s="177"/>
      <c r="Y74" s="177"/>
      <c r="Z74" s="15"/>
    </row>
    <row r="75" spans="1:26" x14ac:dyDescent="0.25">
      <c r="A75" s="108">
        <v>5518</v>
      </c>
      <c r="B75" s="116" t="s">
        <v>170</v>
      </c>
      <c r="C75" s="392">
        <v>-6305843.7816758454</v>
      </c>
      <c r="D75" s="392">
        <v>0</v>
      </c>
      <c r="E75" s="393">
        <v>-643611.14977437875</v>
      </c>
      <c r="F75" s="389">
        <v>-6949454.9314502245</v>
      </c>
      <c r="G75" s="392">
        <v>0</v>
      </c>
      <c r="H75" s="392">
        <v>0</v>
      </c>
      <c r="I75" s="392">
        <v>0</v>
      </c>
      <c r="J75" s="394">
        <v>0</v>
      </c>
      <c r="K75" s="392">
        <v>640537.89756838325</v>
      </c>
      <c r="L75" s="392">
        <v>766682.78490035853</v>
      </c>
      <c r="M75" s="15">
        <v>1407220.6824687417</v>
      </c>
      <c r="N75" s="389">
        <v>-385500</v>
      </c>
      <c r="P75" s="715">
        <v>-5927734.2489814833</v>
      </c>
      <c r="Q75" s="716"/>
      <c r="R75" s="716"/>
      <c r="S75" s="717"/>
      <c r="T75" s="389">
        <v>6378049.0629100921</v>
      </c>
      <c r="U75" s="390">
        <v>1175384.4779113142</v>
      </c>
      <c r="V75" s="395">
        <v>1625699.291839923</v>
      </c>
      <c r="W75" s="408">
        <v>201860.70515359152</v>
      </c>
      <c r="X75" s="177"/>
      <c r="Y75" s="177"/>
      <c r="Z75" s="15"/>
    </row>
    <row r="76" spans="1:26" x14ac:dyDescent="0.25">
      <c r="A76" s="108">
        <v>5520</v>
      </c>
      <c r="B76" s="116" t="s">
        <v>171</v>
      </c>
      <c r="C76" s="392">
        <v>-1131372.6811609475</v>
      </c>
      <c r="D76" s="392">
        <v>0</v>
      </c>
      <c r="E76" s="393">
        <v>-51996.937524450477</v>
      </c>
      <c r="F76" s="389">
        <v>-1183369.618685398</v>
      </c>
      <c r="G76" s="392">
        <v>-11086</v>
      </c>
      <c r="H76" s="392">
        <v>0</v>
      </c>
      <c r="I76" s="392">
        <v>-87692</v>
      </c>
      <c r="J76" s="394">
        <v>-98778</v>
      </c>
      <c r="K76" s="392">
        <v>481984.36130712018</v>
      </c>
      <c r="L76" s="392">
        <v>128908.16757682535</v>
      </c>
      <c r="M76" s="15">
        <v>610892.52888394555</v>
      </c>
      <c r="N76" s="389">
        <v>0</v>
      </c>
      <c r="P76" s="715">
        <v>-671255.08980145247</v>
      </c>
      <c r="Q76" s="716"/>
      <c r="R76" s="716"/>
      <c r="S76" s="717"/>
      <c r="T76" s="389">
        <v>1072389.5639859482</v>
      </c>
      <c r="U76" s="390">
        <v>165965.75243773492</v>
      </c>
      <c r="V76" s="395">
        <v>567100.22662223061</v>
      </c>
      <c r="W76" s="408">
        <v>33940.365063103869</v>
      </c>
      <c r="X76" s="177"/>
      <c r="Y76" s="177"/>
      <c r="Z76" s="15"/>
    </row>
    <row r="77" spans="1:26" x14ac:dyDescent="0.25">
      <c r="A77" s="108">
        <v>5521</v>
      </c>
      <c r="B77" s="116" t="s">
        <v>172</v>
      </c>
      <c r="C77" s="392">
        <v>-625434.00390231691</v>
      </c>
      <c r="D77" s="392">
        <v>0</v>
      </c>
      <c r="E77" s="393">
        <v>-117485.94924765243</v>
      </c>
      <c r="F77" s="389">
        <v>-742919.95314996934</v>
      </c>
      <c r="G77" s="392">
        <v>0</v>
      </c>
      <c r="H77" s="392">
        <v>0</v>
      </c>
      <c r="I77" s="392">
        <v>0</v>
      </c>
      <c r="J77" s="394">
        <v>0</v>
      </c>
      <c r="K77" s="392">
        <v>496716.09028104087</v>
      </c>
      <c r="L77" s="392">
        <v>136724.31891406272</v>
      </c>
      <c r="M77" s="15">
        <v>633440.40919510357</v>
      </c>
      <c r="N77" s="389">
        <v>0</v>
      </c>
      <c r="P77" s="715">
        <v>-109479.54395486577</v>
      </c>
      <c r="Q77" s="716"/>
      <c r="R77" s="716"/>
      <c r="S77" s="717"/>
      <c r="T77" s="389">
        <v>1137412.2796303451</v>
      </c>
      <c r="U77" s="390">
        <v>177547.19930775513</v>
      </c>
      <c r="V77" s="395">
        <v>1205479.9349832344</v>
      </c>
      <c r="W77" s="408">
        <v>35998.287650640486</v>
      </c>
      <c r="X77" s="177"/>
      <c r="Y77" s="177"/>
      <c r="Z77" s="15"/>
    </row>
    <row r="78" spans="1:26" x14ac:dyDescent="0.25">
      <c r="A78" s="108">
        <v>5522</v>
      </c>
      <c r="B78" s="116" t="s">
        <v>173</v>
      </c>
      <c r="C78" s="392">
        <v>-755378.83198946319</v>
      </c>
      <c r="D78" s="392">
        <v>0</v>
      </c>
      <c r="E78" s="393">
        <v>-26097.311191091125</v>
      </c>
      <c r="F78" s="389">
        <v>-781476.14318055427</v>
      </c>
      <c r="G78" s="392">
        <v>-15147</v>
      </c>
      <c r="H78" s="392">
        <v>0</v>
      </c>
      <c r="I78" s="392">
        <v>-167303</v>
      </c>
      <c r="J78" s="394">
        <v>-182450</v>
      </c>
      <c r="K78" s="392">
        <v>350138.65772590495</v>
      </c>
      <c r="L78" s="392">
        <v>89010.798064359944</v>
      </c>
      <c r="M78" s="15">
        <v>439149.45579026488</v>
      </c>
      <c r="N78" s="389">
        <v>0</v>
      </c>
      <c r="P78" s="715">
        <v>-524776.68739028939</v>
      </c>
      <c r="Q78" s="716"/>
      <c r="R78" s="716"/>
      <c r="S78" s="717"/>
      <c r="T78" s="389">
        <v>740482.56771156425</v>
      </c>
      <c r="U78" s="390">
        <v>112783.39722951909</v>
      </c>
      <c r="V78" s="395">
        <v>328489.27755079395</v>
      </c>
      <c r="W78" s="408">
        <v>23435.745287916972</v>
      </c>
      <c r="X78" s="177"/>
      <c r="Y78" s="177"/>
      <c r="Z78" s="15"/>
    </row>
    <row r="79" spans="1:26" x14ac:dyDescent="0.25">
      <c r="A79" s="108">
        <v>5523</v>
      </c>
      <c r="B79" s="116" t="s">
        <v>174</v>
      </c>
      <c r="C79" s="392">
        <v>-2150577.859026128</v>
      </c>
      <c r="D79" s="392">
        <v>0</v>
      </c>
      <c r="E79" s="393">
        <v>-286708.79113276099</v>
      </c>
      <c r="F79" s="389">
        <v>-2437286.6501588891</v>
      </c>
      <c r="G79" s="392">
        <v>0</v>
      </c>
      <c r="H79" s="392">
        <v>-52599</v>
      </c>
      <c r="I79" s="392">
        <v>-117119</v>
      </c>
      <c r="J79" s="394">
        <v>-169718</v>
      </c>
      <c r="K79" s="392">
        <v>838844.00495896081</v>
      </c>
      <c r="L79" s="392">
        <v>318245.684298262</v>
      </c>
      <c r="M79" s="15">
        <v>1157089.6892572227</v>
      </c>
      <c r="N79" s="389">
        <v>0</v>
      </c>
      <c r="P79" s="715">
        <v>-1449914.9609016664</v>
      </c>
      <c r="Q79" s="716"/>
      <c r="R79" s="716"/>
      <c r="S79" s="717"/>
      <c r="T79" s="389">
        <v>2647492.0638494724</v>
      </c>
      <c r="U79" s="390">
        <v>446513.33855777653</v>
      </c>
      <c r="V79" s="395">
        <v>1644090.4415055825</v>
      </c>
      <c r="W79" s="408">
        <v>83791.236101490824</v>
      </c>
      <c r="X79" s="177"/>
      <c r="Y79" s="177"/>
      <c r="Z79" s="15"/>
    </row>
    <row r="80" spans="1:26" x14ac:dyDescent="0.25">
      <c r="A80" s="108">
        <v>5527</v>
      </c>
      <c r="B80" s="116" t="s">
        <v>175</v>
      </c>
      <c r="C80" s="392">
        <v>-666717.14238702366</v>
      </c>
      <c r="D80" s="392">
        <v>0</v>
      </c>
      <c r="E80" s="393">
        <v>-66975.509744726151</v>
      </c>
      <c r="F80" s="389">
        <v>-733692.65213174978</v>
      </c>
      <c r="G80" s="392">
        <v>0</v>
      </c>
      <c r="H80" s="392">
        <v>0</v>
      </c>
      <c r="I80" s="392">
        <v>-25179</v>
      </c>
      <c r="J80" s="394">
        <v>-25179</v>
      </c>
      <c r="K80" s="392">
        <v>490119.79372555396</v>
      </c>
      <c r="L80" s="392">
        <v>133224.5496585833</v>
      </c>
      <c r="M80" s="15">
        <v>623344.34338413726</v>
      </c>
      <c r="N80" s="389">
        <v>0</v>
      </c>
      <c r="P80" s="715">
        <v>-135527.30874761252</v>
      </c>
      <c r="Q80" s="716"/>
      <c r="R80" s="716"/>
      <c r="S80" s="717"/>
      <c r="T80" s="389">
        <v>1108297.6308343466</v>
      </c>
      <c r="U80" s="390">
        <v>172361.47682864161</v>
      </c>
      <c r="V80" s="395">
        <v>1145131.7989153757</v>
      </c>
      <c r="W80" s="408">
        <v>35076.829775624094</v>
      </c>
      <c r="X80" s="177"/>
      <c r="Y80" s="177"/>
      <c r="Z80" s="15"/>
    </row>
    <row r="81" spans="1:26" x14ac:dyDescent="0.25">
      <c r="A81" s="108">
        <v>5529</v>
      </c>
      <c r="B81" s="116" t="s">
        <v>176</v>
      </c>
      <c r="C81" s="392">
        <v>-334135.56948989228</v>
      </c>
      <c r="D81" s="392">
        <v>0</v>
      </c>
      <c r="E81" s="393">
        <v>-85581.600058525131</v>
      </c>
      <c r="F81" s="389">
        <v>-419717.16954841744</v>
      </c>
      <c r="G81" s="392">
        <v>-12474</v>
      </c>
      <c r="H81" s="392">
        <v>0</v>
      </c>
      <c r="I81" s="392">
        <v>-56603</v>
      </c>
      <c r="J81" s="394">
        <v>-69077</v>
      </c>
      <c r="K81" s="392">
        <v>275338.3940177497</v>
      </c>
      <c r="L81" s="392">
        <v>69995.385109588417</v>
      </c>
      <c r="M81" s="15">
        <v>345333.77912733809</v>
      </c>
      <c r="N81" s="389">
        <v>0</v>
      </c>
      <c r="P81" s="715">
        <v>-143460.39042107936</v>
      </c>
      <c r="Q81" s="716"/>
      <c r="R81" s="716"/>
      <c r="S81" s="717"/>
      <c r="T81" s="389">
        <v>582292.97591997194</v>
      </c>
      <c r="U81" s="390">
        <v>88689.434256502558</v>
      </c>
      <c r="V81" s="395">
        <v>527522.01975539513</v>
      </c>
      <c r="W81" s="408">
        <v>18429.157500327896</v>
      </c>
      <c r="X81" s="177"/>
      <c r="Y81" s="177"/>
      <c r="Z81" s="15"/>
    </row>
    <row r="82" spans="1:26" x14ac:dyDescent="0.25">
      <c r="A82" s="108">
        <v>5530</v>
      </c>
      <c r="B82" s="116" t="s">
        <v>177</v>
      </c>
      <c r="C82" s="392">
        <v>-395135.34266866761</v>
      </c>
      <c r="D82" s="392">
        <v>0</v>
      </c>
      <c r="E82" s="393">
        <v>-53567.241456184129</v>
      </c>
      <c r="F82" s="389">
        <v>-448702.58412485174</v>
      </c>
      <c r="G82" s="392">
        <v>-12562</v>
      </c>
      <c r="H82" s="392">
        <v>0</v>
      </c>
      <c r="I82" s="392">
        <v>-72466</v>
      </c>
      <c r="J82" s="394">
        <v>-85028</v>
      </c>
      <c r="K82" s="392">
        <v>264324.85825703968</v>
      </c>
      <c r="L82" s="392">
        <v>67195.569705204878</v>
      </c>
      <c r="M82" s="15">
        <v>331520.42796224455</v>
      </c>
      <c r="N82" s="389">
        <v>-184300</v>
      </c>
      <c r="P82" s="715">
        <v>-386510.15616260719</v>
      </c>
      <c r="Q82" s="716"/>
      <c r="R82" s="716"/>
      <c r="S82" s="717"/>
      <c r="T82" s="389">
        <v>559001.25688317302</v>
      </c>
      <c r="U82" s="390">
        <v>85141.856886242458</v>
      </c>
      <c r="V82" s="395">
        <v>257632.95760680828</v>
      </c>
      <c r="W82" s="408">
        <v>17691.99120031478</v>
      </c>
      <c r="X82" s="177"/>
      <c r="Y82" s="177"/>
      <c r="Z82" s="15"/>
    </row>
    <row r="83" spans="1:26" x14ac:dyDescent="0.25">
      <c r="A83" s="108">
        <v>5531</v>
      </c>
      <c r="B83" s="116" t="s">
        <v>178</v>
      </c>
      <c r="C83" s="392">
        <v>-218470.85789293723</v>
      </c>
      <c r="D83" s="392">
        <v>0</v>
      </c>
      <c r="E83" s="393">
        <v>22164.771074040851</v>
      </c>
      <c r="F83" s="389">
        <v>-196306.08681889638</v>
      </c>
      <c r="G83" s="392">
        <v>-24143</v>
      </c>
      <c r="H83" s="392">
        <v>0</v>
      </c>
      <c r="I83" s="392">
        <v>-80</v>
      </c>
      <c r="J83" s="394">
        <v>-24223</v>
      </c>
      <c r="K83" s="392">
        <v>200538.13030959433</v>
      </c>
      <c r="L83" s="392">
        <v>50979.972154816896</v>
      </c>
      <c r="M83" s="15">
        <v>251518.10246441123</v>
      </c>
      <c r="N83" s="389">
        <v>0</v>
      </c>
      <c r="P83" s="715">
        <v>30989.015645514854</v>
      </c>
      <c r="Q83" s="716"/>
      <c r="R83" s="716"/>
      <c r="S83" s="717"/>
      <c r="T83" s="389">
        <v>424103.38412837958</v>
      </c>
      <c r="U83" s="390">
        <v>64595.471283486026</v>
      </c>
      <c r="V83" s="395">
        <v>519687.87105738046</v>
      </c>
      <c r="W83" s="408">
        <v>13422.569712738816</v>
      </c>
      <c r="X83" s="177"/>
      <c r="Y83" s="177"/>
      <c r="Z83" s="15"/>
    </row>
    <row r="84" spans="1:26" x14ac:dyDescent="0.25">
      <c r="A84" s="108">
        <v>5533</v>
      </c>
      <c r="B84" s="116" t="s">
        <v>179</v>
      </c>
      <c r="C84" s="392">
        <v>-825147.787896108</v>
      </c>
      <c r="D84" s="392">
        <v>0</v>
      </c>
      <c r="E84" s="393">
        <v>-73822.426485446704</v>
      </c>
      <c r="F84" s="389">
        <v>-898970.21438155475</v>
      </c>
      <c r="G84" s="392">
        <v>0</v>
      </c>
      <c r="H84" s="392">
        <v>-22843</v>
      </c>
      <c r="I84" s="392">
        <v>-77609</v>
      </c>
      <c r="J84" s="394">
        <v>-100452</v>
      </c>
      <c r="K84" s="392">
        <v>401994.05526591447</v>
      </c>
      <c r="L84" s="392">
        <v>102193.2622599991</v>
      </c>
      <c r="M84" s="15">
        <v>504187.31752591359</v>
      </c>
      <c r="N84" s="389">
        <v>0</v>
      </c>
      <c r="P84" s="715">
        <v>-495234.89685564116</v>
      </c>
      <c r="Q84" s="716"/>
      <c r="R84" s="716"/>
      <c r="S84" s="717"/>
      <c r="T84" s="389">
        <v>850147.74484315899</v>
      </c>
      <c r="U84" s="390">
        <v>129486.57401449374</v>
      </c>
      <c r="V84" s="395">
        <v>484399.42200201156</v>
      </c>
      <c r="W84" s="408">
        <v>26906.569950478726</v>
      </c>
      <c r="X84" s="177"/>
      <c r="Y84" s="177"/>
      <c r="Z84" s="15"/>
    </row>
    <row r="85" spans="1:26" x14ac:dyDescent="0.25">
      <c r="A85" s="108">
        <v>5534</v>
      </c>
      <c r="B85" s="116" t="s">
        <v>180</v>
      </c>
      <c r="C85" s="392">
        <v>71237.088318807248</v>
      </c>
      <c r="D85" s="392">
        <v>0</v>
      </c>
      <c r="E85" s="393">
        <v>-42976.133662790991</v>
      </c>
      <c r="F85" s="389">
        <v>28260.954656016256</v>
      </c>
      <c r="G85" s="392">
        <v>0</v>
      </c>
      <c r="H85" s="392">
        <v>0</v>
      </c>
      <c r="I85" s="392">
        <v>0</v>
      </c>
      <c r="J85" s="394">
        <v>0</v>
      </c>
      <c r="K85" s="392">
        <v>138586.99165560066</v>
      </c>
      <c r="L85" s="392">
        <v>35231.010505159502</v>
      </c>
      <c r="M85" s="15">
        <v>173818.00216076017</v>
      </c>
      <c r="N85" s="389">
        <v>0</v>
      </c>
      <c r="P85" s="715">
        <v>202078.95681677642</v>
      </c>
      <c r="Q85" s="716"/>
      <c r="R85" s="716"/>
      <c r="S85" s="717"/>
      <c r="T85" s="389">
        <v>293087.46454638586</v>
      </c>
      <c r="U85" s="390">
        <v>44640.348575772958</v>
      </c>
      <c r="V85" s="395">
        <v>539806.76993893529</v>
      </c>
      <c r="W85" s="408">
        <v>9276.0092751650409</v>
      </c>
      <c r="X85" s="177"/>
      <c r="Y85" s="177"/>
      <c r="Z85" s="15"/>
    </row>
    <row r="86" spans="1:26" x14ac:dyDescent="0.25">
      <c r="A86" s="108">
        <v>5535</v>
      </c>
      <c r="B86" s="116" t="s">
        <v>181</v>
      </c>
      <c r="C86" s="392">
        <v>-700399.23068862548</v>
      </c>
      <c r="D86" s="392">
        <v>0</v>
      </c>
      <c r="E86" s="393">
        <v>-58034.636097528914</v>
      </c>
      <c r="F86" s="389">
        <v>-758433.86678615445</v>
      </c>
      <c r="G86" s="392">
        <v>0</v>
      </c>
      <c r="H86" s="392">
        <v>0</v>
      </c>
      <c r="I86" s="392">
        <v>0</v>
      </c>
      <c r="J86" s="394">
        <v>0</v>
      </c>
      <c r="K86" s="392">
        <v>380425.88106785744</v>
      </c>
      <c r="L86" s="392">
        <v>96710.290426414664</v>
      </c>
      <c r="M86" s="15">
        <v>477136.17149427207</v>
      </c>
      <c r="N86" s="389">
        <v>0</v>
      </c>
      <c r="P86" s="715">
        <v>-281297.69529188238</v>
      </c>
      <c r="Q86" s="716"/>
      <c r="R86" s="716"/>
      <c r="S86" s="717"/>
      <c r="T86" s="389">
        <v>804534.79506276117</v>
      </c>
      <c r="U86" s="390">
        <v>122539.23499773437</v>
      </c>
      <c r="V86" s="395">
        <v>645776.3347686131</v>
      </c>
      <c r="W86" s="408">
        <v>25462.952612953042</v>
      </c>
      <c r="X86" s="177"/>
      <c r="Y86" s="177"/>
      <c r="Z86" s="15"/>
    </row>
    <row r="87" spans="1:26" x14ac:dyDescent="0.25">
      <c r="A87" s="108">
        <v>5537</v>
      </c>
      <c r="B87" s="116" t="s">
        <v>182</v>
      </c>
      <c r="C87" s="392">
        <v>-1392026.7055535023</v>
      </c>
      <c r="D87" s="392">
        <v>0</v>
      </c>
      <c r="E87" s="393">
        <v>-126003.00315994272</v>
      </c>
      <c r="F87" s="389">
        <v>-1518029.7087134451</v>
      </c>
      <c r="G87" s="392">
        <v>0</v>
      </c>
      <c r="H87" s="392">
        <v>0</v>
      </c>
      <c r="I87" s="392">
        <v>-88958</v>
      </c>
      <c r="J87" s="394">
        <v>-88958</v>
      </c>
      <c r="K87" s="392">
        <v>524420.53581408586</v>
      </c>
      <c r="L87" s="392">
        <v>151423.34978707629</v>
      </c>
      <c r="M87" s="15">
        <v>675843.88560116221</v>
      </c>
      <c r="N87" s="389">
        <v>0</v>
      </c>
      <c r="P87" s="715">
        <v>-931143.8231122829</v>
      </c>
      <c r="Q87" s="716"/>
      <c r="R87" s="716"/>
      <c r="S87" s="717"/>
      <c r="T87" s="389">
        <v>1259693.8045735392</v>
      </c>
      <c r="U87" s="390">
        <v>199327.23372003195</v>
      </c>
      <c r="V87" s="395">
        <v>527877.21518128819</v>
      </c>
      <c r="W87" s="408">
        <v>39868.410725709342</v>
      </c>
      <c r="X87" s="177"/>
      <c r="Y87" s="177"/>
      <c r="Z87" s="15"/>
    </row>
    <row r="88" spans="1:26" x14ac:dyDescent="0.25">
      <c r="A88" s="108">
        <v>5539</v>
      </c>
      <c r="B88" s="116" t="s">
        <v>183</v>
      </c>
      <c r="C88" s="392">
        <v>-1090981.3853022414</v>
      </c>
      <c r="D88" s="392">
        <v>0</v>
      </c>
      <c r="E88" s="393">
        <v>-87763.733890922042</v>
      </c>
      <c r="F88" s="389">
        <v>-1178745.1191931635</v>
      </c>
      <c r="G88" s="392">
        <v>-3179</v>
      </c>
      <c r="H88" s="392">
        <v>0</v>
      </c>
      <c r="I88" s="392">
        <v>-216970</v>
      </c>
      <c r="J88" s="394">
        <v>-220149</v>
      </c>
      <c r="K88" s="392">
        <v>481544.60820342106</v>
      </c>
      <c r="L88" s="392">
        <v>128674.84962646004</v>
      </c>
      <c r="M88" s="15">
        <v>610219.45782988111</v>
      </c>
      <c r="N88" s="389">
        <v>0</v>
      </c>
      <c r="P88" s="715">
        <v>-788674.66136328236</v>
      </c>
      <c r="Q88" s="716"/>
      <c r="R88" s="716"/>
      <c r="S88" s="717"/>
      <c r="T88" s="389">
        <v>1070448.5873995484</v>
      </c>
      <c r="U88" s="390">
        <v>165620.03760579403</v>
      </c>
      <c r="V88" s="395">
        <v>447393.96364206006</v>
      </c>
      <c r="W88" s="408">
        <v>33878.934538102782</v>
      </c>
      <c r="X88" s="177"/>
      <c r="Y88" s="177"/>
      <c r="Z88" s="15"/>
    </row>
    <row r="89" spans="1:26" x14ac:dyDescent="0.25">
      <c r="A89" s="108">
        <v>5540</v>
      </c>
      <c r="B89" s="116" t="s">
        <v>184</v>
      </c>
      <c r="C89" s="392">
        <v>-1003048.1476683432</v>
      </c>
      <c r="D89" s="392">
        <v>0</v>
      </c>
      <c r="E89" s="393">
        <v>-239896.49095141102</v>
      </c>
      <c r="F89" s="389">
        <v>-1242944.6386197542</v>
      </c>
      <c r="G89" s="392">
        <v>0</v>
      </c>
      <c r="H89" s="392">
        <v>-7327</v>
      </c>
      <c r="I89" s="392">
        <v>0</v>
      </c>
      <c r="J89" s="394">
        <v>-7327</v>
      </c>
      <c r="K89" s="392">
        <v>655466.96071642532</v>
      </c>
      <c r="L89" s="392">
        <v>220952.09899593412</v>
      </c>
      <c r="M89" s="15">
        <v>876419.05971235945</v>
      </c>
      <c r="N89" s="389">
        <v>-97100</v>
      </c>
      <c r="P89" s="715">
        <v>-470952.57890739478</v>
      </c>
      <c r="Q89" s="716"/>
      <c r="R89" s="716"/>
      <c r="S89" s="717"/>
      <c r="T89" s="389">
        <v>1838104.8273207115</v>
      </c>
      <c r="U89" s="390">
        <v>302350.2536384206</v>
      </c>
      <c r="V89" s="395">
        <v>1669502.5020517372</v>
      </c>
      <c r="W89" s="408">
        <v>58174.707176035052</v>
      </c>
      <c r="X89" s="177"/>
      <c r="Y89" s="177"/>
      <c r="Z89" s="15"/>
    </row>
    <row r="90" spans="1:26" x14ac:dyDescent="0.25">
      <c r="A90" s="108">
        <v>5541</v>
      </c>
      <c r="B90" s="116" t="s">
        <v>185</v>
      </c>
      <c r="C90" s="392">
        <v>-870799.28215104109</v>
      </c>
      <c r="D90" s="392">
        <v>0</v>
      </c>
      <c r="E90" s="393">
        <v>-178313.50691822078</v>
      </c>
      <c r="F90" s="389">
        <v>-1049112.7890692619</v>
      </c>
      <c r="G90" s="392">
        <v>-11944</v>
      </c>
      <c r="H90" s="392">
        <v>0</v>
      </c>
      <c r="I90" s="392">
        <v>-242631</v>
      </c>
      <c r="J90" s="394">
        <v>-254575</v>
      </c>
      <c r="K90" s="392">
        <v>505511.15235502343</v>
      </c>
      <c r="L90" s="392">
        <v>141390.67792136859</v>
      </c>
      <c r="M90" s="15">
        <v>646901.83027639205</v>
      </c>
      <c r="N90" s="389">
        <v>0</v>
      </c>
      <c r="P90" s="715">
        <v>-656785.95879286982</v>
      </c>
      <c r="Q90" s="716"/>
      <c r="R90" s="716"/>
      <c r="S90" s="717"/>
      <c r="T90" s="389">
        <v>1176231.8113583433</v>
      </c>
      <c r="U90" s="390">
        <v>184461.49594657318</v>
      </c>
      <c r="V90" s="395">
        <v>703907.34851204674</v>
      </c>
      <c r="W90" s="408">
        <v>37226.898150662346</v>
      </c>
      <c r="X90" s="177"/>
      <c r="Y90" s="177"/>
      <c r="Z90" s="15"/>
    </row>
    <row r="91" spans="1:26" x14ac:dyDescent="0.25">
      <c r="A91" s="108">
        <v>5551</v>
      </c>
      <c r="B91" s="116" t="s">
        <v>186</v>
      </c>
      <c r="C91" s="392">
        <v>-377613.19158060726</v>
      </c>
      <c r="D91" s="392">
        <v>0</v>
      </c>
      <c r="E91" s="393">
        <v>-56541.610617973703</v>
      </c>
      <c r="F91" s="389">
        <v>-434154.80219858099</v>
      </c>
      <c r="G91" s="392">
        <v>-34893</v>
      </c>
      <c r="H91" s="392">
        <v>-2536</v>
      </c>
      <c r="I91" s="392">
        <v>0</v>
      </c>
      <c r="J91" s="394">
        <v>-37429</v>
      </c>
      <c r="K91" s="392">
        <v>241379.99208889384</v>
      </c>
      <c r="L91" s="392">
        <v>61362.620946072515</v>
      </c>
      <c r="M91" s="15">
        <v>302742.61303496634</v>
      </c>
      <c r="N91" s="389">
        <v>0</v>
      </c>
      <c r="P91" s="715">
        <v>-168841.18916361465</v>
      </c>
      <c r="Q91" s="716"/>
      <c r="R91" s="716"/>
      <c r="S91" s="717"/>
      <c r="T91" s="389">
        <v>510476.84222317539</v>
      </c>
      <c r="U91" s="390">
        <v>77751.070698200579</v>
      </c>
      <c r="V91" s="395">
        <v>419386.7237577613</v>
      </c>
      <c r="W91" s="408">
        <v>16156.228075287454</v>
      </c>
      <c r="X91" s="177"/>
      <c r="Y91" s="177"/>
      <c r="Z91" s="15"/>
    </row>
    <row r="92" spans="1:26" x14ac:dyDescent="0.25">
      <c r="A92" s="108">
        <v>5552</v>
      </c>
      <c r="B92" s="116" t="s">
        <v>187</v>
      </c>
      <c r="C92" s="392">
        <v>-668364.13787061616</v>
      </c>
      <c r="D92" s="392">
        <v>0</v>
      </c>
      <c r="E92" s="393">
        <v>116048.9836841592</v>
      </c>
      <c r="F92" s="389">
        <v>-552315.15418645693</v>
      </c>
      <c r="G92" s="392">
        <v>-122336</v>
      </c>
      <c r="H92" s="392">
        <v>-66257</v>
      </c>
      <c r="I92" s="392">
        <v>0</v>
      </c>
      <c r="J92" s="394">
        <v>-188593</v>
      </c>
      <c r="K92" s="392">
        <v>309755.69326996838</v>
      </c>
      <c r="L92" s="392">
        <v>78744.80824828698</v>
      </c>
      <c r="M92" s="15">
        <v>388500.50151825533</v>
      </c>
      <c r="N92" s="389">
        <v>0</v>
      </c>
      <c r="P92" s="715">
        <v>-352407.6526682016</v>
      </c>
      <c r="Q92" s="716"/>
      <c r="R92" s="716"/>
      <c r="S92" s="717"/>
      <c r="T92" s="389">
        <v>655079.59790996846</v>
      </c>
      <c r="U92" s="390">
        <v>99775.613538565376</v>
      </c>
      <c r="V92" s="395">
        <v>402447.55878033221</v>
      </c>
      <c r="W92" s="408">
        <v>20732.802187868881</v>
      </c>
      <c r="X92" s="177"/>
      <c r="Y92" s="177"/>
      <c r="Z92" s="15"/>
    </row>
    <row r="93" spans="1:26" x14ac:dyDescent="0.25">
      <c r="A93" s="108">
        <v>5553</v>
      </c>
      <c r="B93" s="116" t="s">
        <v>188</v>
      </c>
      <c r="C93" s="392">
        <v>-873444.20046912401</v>
      </c>
      <c r="D93" s="392">
        <v>0</v>
      </c>
      <c r="E93" s="393">
        <v>5892.7142455326102</v>
      </c>
      <c r="F93" s="389">
        <v>-867551.48622359138</v>
      </c>
      <c r="G93" s="392">
        <v>0</v>
      </c>
      <c r="H93" s="392">
        <v>0</v>
      </c>
      <c r="I93" s="392">
        <v>0</v>
      </c>
      <c r="J93" s="394">
        <v>0</v>
      </c>
      <c r="K93" s="392">
        <v>474508.55854423501</v>
      </c>
      <c r="L93" s="392">
        <v>124941.76242061533</v>
      </c>
      <c r="M93" s="15">
        <v>599450.32096485037</v>
      </c>
      <c r="N93" s="389">
        <v>-56900</v>
      </c>
      <c r="P93" s="715">
        <v>-325001.16525874101</v>
      </c>
      <c r="Q93" s="716"/>
      <c r="R93" s="716"/>
      <c r="S93" s="717"/>
      <c r="T93" s="389">
        <v>1039392.9620171499</v>
      </c>
      <c r="U93" s="390">
        <v>160088.60029473962</v>
      </c>
      <c r="V93" s="395">
        <v>874480.39705314848</v>
      </c>
      <c r="W93" s="408">
        <v>32896.046138085294</v>
      </c>
      <c r="X93" s="177"/>
      <c r="Y93" s="177"/>
      <c r="Z93" s="15"/>
    </row>
    <row r="94" spans="1:26" x14ac:dyDescent="0.25">
      <c r="A94" s="108">
        <v>5554</v>
      </c>
      <c r="B94" s="116" t="s">
        <v>189</v>
      </c>
      <c r="C94" s="392">
        <v>-830799.34693129652</v>
      </c>
      <c r="D94" s="392">
        <v>0</v>
      </c>
      <c r="E94" s="393">
        <v>-11673.001733021083</v>
      </c>
      <c r="F94" s="389">
        <v>-842472.34866431763</v>
      </c>
      <c r="G94" s="392">
        <v>-35529</v>
      </c>
      <c r="H94" s="392">
        <v>-440</v>
      </c>
      <c r="I94" s="392">
        <v>-10799</v>
      </c>
      <c r="J94" s="394">
        <v>-46768</v>
      </c>
      <c r="K94" s="392">
        <v>463734.60750360641</v>
      </c>
      <c r="L94" s="392">
        <v>119225.47263666561</v>
      </c>
      <c r="M94" s="15">
        <v>582960.08014027204</v>
      </c>
      <c r="N94" s="389">
        <v>-24600</v>
      </c>
      <c r="P94" s="715">
        <v>-330880.26852404559</v>
      </c>
      <c r="Q94" s="716"/>
      <c r="R94" s="716"/>
      <c r="S94" s="717"/>
      <c r="T94" s="389">
        <v>991839.03565035213</v>
      </c>
      <c r="U94" s="390">
        <v>151618.58691218751</v>
      </c>
      <c r="V94" s="395">
        <v>812577.35403849406</v>
      </c>
      <c r="W94" s="408">
        <v>31390.998275558512</v>
      </c>
      <c r="X94" s="177"/>
      <c r="Y94" s="177"/>
      <c r="Z94" s="15"/>
    </row>
    <row r="95" spans="1:26" x14ac:dyDescent="0.25">
      <c r="A95" s="108">
        <v>5555</v>
      </c>
      <c r="B95" s="116" t="s">
        <v>190</v>
      </c>
      <c r="C95" s="392">
        <v>-379832.86468660313</v>
      </c>
      <c r="D95" s="392">
        <v>0</v>
      </c>
      <c r="E95" s="393">
        <v>12841.987875211358</v>
      </c>
      <c r="F95" s="389">
        <v>-366990.87681139179</v>
      </c>
      <c r="G95" s="392">
        <v>-7614</v>
      </c>
      <c r="H95" s="392">
        <v>0</v>
      </c>
      <c r="I95" s="392">
        <v>0</v>
      </c>
      <c r="J95" s="394">
        <v>-7614</v>
      </c>
      <c r="K95" s="392">
        <v>195031.36242923932</v>
      </c>
      <c r="L95" s="392">
        <v>49580.064452625134</v>
      </c>
      <c r="M95" s="15">
        <v>244611.42688186446</v>
      </c>
      <c r="N95" s="389">
        <v>-68700</v>
      </c>
      <c r="P95" s="715">
        <v>-198693.44992952733</v>
      </c>
      <c r="Q95" s="716"/>
      <c r="R95" s="716"/>
      <c r="S95" s="717"/>
      <c r="T95" s="389">
        <v>412457.52460998012</v>
      </c>
      <c r="U95" s="390">
        <v>62821.682598355983</v>
      </c>
      <c r="V95" s="395">
        <v>276585.75727880874</v>
      </c>
      <c r="W95" s="408">
        <v>13053.986562732258</v>
      </c>
      <c r="X95" s="177"/>
      <c r="Y95" s="177"/>
      <c r="Z95" s="15"/>
    </row>
    <row r="96" spans="1:26" x14ac:dyDescent="0.25">
      <c r="A96" s="108">
        <v>5556</v>
      </c>
      <c r="B96" s="116" t="s">
        <v>191</v>
      </c>
      <c r="C96" s="392">
        <v>-449054.81663324789</v>
      </c>
      <c r="D96" s="392">
        <v>0</v>
      </c>
      <c r="E96" s="393">
        <v>-73065.502109194931</v>
      </c>
      <c r="F96" s="389">
        <v>-522120.31874244282</v>
      </c>
      <c r="G96" s="392">
        <v>-35805</v>
      </c>
      <c r="H96" s="392">
        <v>0</v>
      </c>
      <c r="I96" s="392">
        <v>-41667</v>
      </c>
      <c r="J96" s="394">
        <v>-77472</v>
      </c>
      <c r="K96" s="392">
        <v>200079.23298623139</v>
      </c>
      <c r="L96" s="392">
        <v>50863.31317963425</v>
      </c>
      <c r="M96" s="15">
        <v>250942.54616586564</v>
      </c>
      <c r="N96" s="389">
        <v>0</v>
      </c>
      <c r="P96" s="715">
        <v>-348649.77257657726</v>
      </c>
      <c r="Q96" s="716"/>
      <c r="R96" s="716"/>
      <c r="S96" s="717"/>
      <c r="T96" s="389">
        <v>423132.8958351796</v>
      </c>
      <c r="U96" s="390">
        <v>64447.655559725201</v>
      </c>
      <c r="V96" s="395">
        <v>138930.77881832753</v>
      </c>
      <c r="W96" s="408">
        <v>13391.85445023827</v>
      </c>
      <c r="X96" s="177"/>
      <c r="Y96" s="177"/>
      <c r="Z96" s="15"/>
    </row>
    <row r="97" spans="1:26" x14ac:dyDescent="0.25">
      <c r="A97" s="108">
        <v>5557</v>
      </c>
      <c r="B97" s="116" t="s">
        <v>192</v>
      </c>
      <c r="C97" s="392">
        <v>-269909.41552800202</v>
      </c>
      <c r="D97" s="392">
        <v>-1982</v>
      </c>
      <c r="E97" s="393">
        <v>-29006.556536077504</v>
      </c>
      <c r="F97" s="389">
        <v>-300897.97206407954</v>
      </c>
      <c r="G97" s="392">
        <v>-67343</v>
      </c>
      <c r="H97" s="392">
        <v>-261</v>
      </c>
      <c r="I97" s="392">
        <v>-17962</v>
      </c>
      <c r="J97" s="394">
        <v>-85566</v>
      </c>
      <c r="K97" s="392">
        <v>91320.567349220306</v>
      </c>
      <c r="L97" s="392">
        <v>23215.136061346828</v>
      </c>
      <c r="M97" s="15">
        <v>114535.70341056713</v>
      </c>
      <c r="N97" s="389">
        <v>0</v>
      </c>
      <c r="P97" s="715">
        <v>-271928.26865351241</v>
      </c>
      <c r="Q97" s="716"/>
      <c r="R97" s="716"/>
      <c r="S97" s="717"/>
      <c r="T97" s="389">
        <v>193127.17034679069</v>
      </c>
      <c r="U97" s="390">
        <v>29415.329028406686</v>
      </c>
      <c r="V97" s="395">
        <v>-49385.769278315027</v>
      </c>
      <c r="W97" s="408">
        <v>6112.3372376087518</v>
      </c>
      <c r="X97" s="177"/>
      <c r="Y97" s="177"/>
      <c r="Z97" s="15"/>
    </row>
    <row r="98" spans="1:26" x14ac:dyDescent="0.25">
      <c r="A98" s="108">
        <v>5559</v>
      </c>
      <c r="B98" s="116" t="s">
        <v>193</v>
      </c>
      <c r="C98" s="392">
        <v>-141494.06354598375</v>
      </c>
      <c r="D98" s="392">
        <v>0</v>
      </c>
      <c r="E98" s="393">
        <v>-18489.623894771736</v>
      </c>
      <c r="F98" s="389">
        <v>-159983.68744075549</v>
      </c>
      <c r="G98" s="392">
        <v>-12005</v>
      </c>
      <c r="H98" s="392">
        <v>0</v>
      </c>
      <c r="I98" s="392">
        <v>0</v>
      </c>
      <c r="J98" s="394">
        <v>-12005</v>
      </c>
      <c r="K98" s="392">
        <v>210633.87142357847</v>
      </c>
      <c r="L98" s="392">
        <v>53546.469608835141</v>
      </c>
      <c r="M98" s="15">
        <v>264180.34103241359</v>
      </c>
      <c r="N98" s="389">
        <v>0</v>
      </c>
      <c r="P98" s="715">
        <v>92191.653591658105</v>
      </c>
      <c r="Q98" s="716"/>
      <c r="R98" s="716"/>
      <c r="S98" s="717"/>
      <c r="T98" s="389">
        <v>445454.12657877849</v>
      </c>
      <c r="U98" s="390">
        <v>67847.417206224462</v>
      </c>
      <c r="V98" s="395">
        <v>605493.197376661</v>
      </c>
      <c r="W98" s="408">
        <v>14098.305487750838</v>
      </c>
      <c r="X98" s="177"/>
      <c r="Y98" s="177"/>
      <c r="Z98" s="15"/>
    </row>
    <row r="99" spans="1:26" x14ac:dyDescent="0.25">
      <c r="A99" s="108">
        <v>5560</v>
      </c>
      <c r="B99" s="116" t="s">
        <v>194</v>
      </c>
      <c r="C99" s="392">
        <v>-187522.92566058767</v>
      </c>
      <c r="D99" s="392">
        <v>0</v>
      </c>
      <c r="E99" s="393">
        <v>-16752.490573117429</v>
      </c>
      <c r="F99" s="389">
        <v>-204275.41623370509</v>
      </c>
      <c r="G99" s="392">
        <v>-17010</v>
      </c>
      <c r="H99" s="392">
        <v>0</v>
      </c>
      <c r="I99" s="392">
        <v>-3309</v>
      </c>
      <c r="J99" s="394">
        <v>-20319</v>
      </c>
      <c r="K99" s="392">
        <v>108758.6656370111</v>
      </c>
      <c r="L99" s="392">
        <v>27648.177118287425</v>
      </c>
      <c r="M99" s="15">
        <v>136406.84275529854</v>
      </c>
      <c r="N99" s="389">
        <v>0</v>
      </c>
      <c r="P99" s="715">
        <v>-88187.573478406557</v>
      </c>
      <c r="Q99" s="716"/>
      <c r="R99" s="716"/>
      <c r="S99" s="717"/>
      <c r="T99" s="389">
        <v>230005.72548838891</v>
      </c>
      <c r="U99" s="390">
        <v>35032.326531318511</v>
      </c>
      <c r="V99" s="395">
        <v>176850.47854130086</v>
      </c>
      <c r="W99" s="408">
        <v>7279.5172126295183</v>
      </c>
      <c r="X99" s="177"/>
      <c r="Y99" s="177"/>
      <c r="Z99" s="15"/>
    </row>
    <row r="100" spans="1:26" x14ac:dyDescent="0.25">
      <c r="A100" s="108">
        <v>5561</v>
      </c>
      <c r="B100" s="116" t="s">
        <v>195</v>
      </c>
      <c r="C100" s="392">
        <v>-1943762.5200054573</v>
      </c>
      <c r="D100" s="392">
        <v>0</v>
      </c>
      <c r="E100" s="393">
        <v>-139280.49156361021</v>
      </c>
      <c r="F100" s="389">
        <v>-2083043.0115690676</v>
      </c>
      <c r="G100" s="392">
        <v>0</v>
      </c>
      <c r="H100" s="392">
        <v>0</v>
      </c>
      <c r="I100" s="392">
        <v>0</v>
      </c>
      <c r="J100" s="394">
        <v>0</v>
      </c>
      <c r="K100" s="392">
        <v>870758.08764867345</v>
      </c>
      <c r="L100" s="392">
        <v>395007.28996844398</v>
      </c>
      <c r="M100" s="15">
        <v>1265765.3776171175</v>
      </c>
      <c r="N100" s="389">
        <v>-407600</v>
      </c>
      <c r="P100" s="715">
        <v>-1224877.6339519501</v>
      </c>
      <c r="Q100" s="716"/>
      <c r="R100" s="716"/>
      <c r="S100" s="717"/>
      <c r="T100" s="389">
        <v>3286073.3607750414</v>
      </c>
      <c r="U100" s="390">
        <v>565086.56486278842</v>
      </c>
      <c r="V100" s="395">
        <v>2626282.2916858797</v>
      </c>
      <c r="W100" s="408">
        <v>104001.87882685041</v>
      </c>
      <c r="X100" s="177"/>
      <c r="Y100" s="177"/>
      <c r="Z100" s="15"/>
    </row>
    <row r="101" spans="1:26" x14ac:dyDescent="0.25">
      <c r="A101" s="108">
        <v>5562</v>
      </c>
      <c r="B101" s="116" t="s">
        <v>196</v>
      </c>
      <c r="C101" s="392">
        <v>-84590.559169861343</v>
      </c>
      <c r="D101" s="392">
        <v>0</v>
      </c>
      <c r="E101" s="393">
        <v>14466.816553596054</v>
      </c>
      <c r="F101" s="389">
        <v>-70123.742616265285</v>
      </c>
      <c r="G101" s="392">
        <v>-47369</v>
      </c>
      <c r="H101" s="392">
        <v>-23566</v>
      </c>
      <c r="I101" s="392">
        <v>0</v>
      </c>
      <c r="J101" s="394">
        <v>-70935</v>
      </c>
      <c r="K101" s="392">
        <v>61492.241330630757</v>
      </c>
      <c r="L101" s="392">
        <v>15632.302674474748</v>
      </c>
      <c r="M101" s="15">
        <v>77124.544005105505</v>
      </c>
      <c r="N101" s="389">
        <v>0</v>
      </c>
      <c r="P101" s="715">
        <v>-63934.19861115978</v>
      </c>
      <c r="Q101" s="716"/>
      <c r="R101" s="716"/>
      <c r="S101" s="717"/>
      <c r="T101" s="389">
        <v>130045.43128879373</v>
      </c>
      <c r="U101" s="390">
        <v>19807.30698395224</v>
      </c>
      <c r="V101" s="395">
        <v>85918.539661586183</v>
      </c>
      <c r="W101" s="408">
        <v>4115.8451750732302</v>
      </c>
      <c r="X101" s="177"/>
      <c r="Y101" s="177"/>
      <c r="Z101" s="15"/>
    </row>
    <row r="102" spans="1:26" x14ac:dyDescent="0.25">
      <c r="A102" s="108">
        <v>5563</v>
      </c>
      <c r="B102" s="116" t="s">
        <v>77</v>
      </c>
      <c r="C102" s="392">
        <v>-220465.80282400624</v>
      </c>
      <c r="D102" s="392">
        <v>-7394</v>
      </c>
      <c r="E102" s="393">
        <v>-16333.08843081024</v>
      </c>
      <c r="F102" s="389">
        <v>-244192.8912548165</v>
      </c>
      <c r="G102" s="392">
        <v>-21913</v>
      </c>
      <c r="H102" s="392">
        <v>-20672</v>
      </c>
      <c r="I102" s="392">
        <v>-37878</v>
      </c>
      <c r="J102" s="394">
        <v>-80463</v>
      </c>
      <c r="K102" s="392">
        <v>66540.111887622828</v>
      </c>
      <c r="L102" s="392">
        <v>16915.55140148387</v>
      </c>
      <c r="M102" s="15">
        <v>83455.663289106698</v>
      </c>
      <c r="N102" s="389">
        <v>0</v>
      </c>
      <c r="P102" s="715">
        <v>-241200.22796570981</v>
      </c>
      <c r="Q102" s="716"/>
      <c r="R102" s="716"/>
      <c r="S102" s="717"/>
      <c r="T102" s="389">
        <v>140720.80251399323</v>
      </c>
      <c r="U102" s="390">
        <v>21433.279945321454</v>
      </c>
      <c r="V102" s="395">
        <v>-79046.145506395129</v>
      </c>
      <c r="W102" s="408">
        <v>4453.7130625792415</v>
      </c>
      <c r="X102" s="177"/>
      <c r="Y102" s="177"/>
      <c r="Z102" s="15"/>
    </row>
    <row r="103" spans="1:26" x14ac:dyDescent="0.25">
      <c r="A103" s="108">
        <v>5564</v>
      </c>
      <c r="B103" s="116" t="s">
        <v>197</v>
      </c>
      <c r="C103" s="392">
        <v>-144066.04208354585</v>
      </c>
      <c r="D103" s="392">
        <v>-2446</v>
      </c>
      <c r="E103" s="393">
        <v>-14387.345309949274</v>
      </c>
      <c r="F103" s="389">
        <v>-160899.38739349513</v>
      </c>
      <c r="G103" s="392">
        <v>-12854</v>
      </c>
      <c r="H103" s="392">
        <v>0</v>
      </c>
      <c r="I103" s="392">
        <v>-28668</v>
      </c>
      <c r="J103" s="394">
        <v>-41522</v>
      </c>
      <c r="K103" s="392">
        <v>46807.526983017437</v>
      </c>
      <c r="L103" s="392">
        <v>11899.215468630031</v>
      </c>
      <c r="M103" s="15">
        <v>58706.742451647471</v>
      </c>
      <c r="N103" s="389">
        <v>0</v>
      </c>
      <c r="P103" s="715">
        <v>-143714.64494184765</v>
      </c>
      <c r="Q103" s="716"/>
      <c r="R103" s="716"/>
      <c r="S103" s="717"/>
      <c r="T103" s="389">
        <v>98989.805906395224</v>
      </c>
      <c r="U103" s="390">
        <v>15077.203823605436</v>
      </c>
      <c r="V103" s="395">
        <v>-29647.635211846995</v>
      </c>
      <c r="W103" s="408">
        <v>3132.9567750557421</v>
      </c>
      <c r="X103" s="177"/>
      <c r="Y103" s="177"/>
      <c r="Z103" s="15"/>
    </row>
    <row r="104" spans="1:26" x14ac:dyDescent="0.25">
      <c r="A104" s="108">
        <v>5565</v>
      </c>
      <c r="B104" s="116" t="s">
        <v>198</v>
      </c>
      <c r="C104" s="392">
        <v>-155298.30804879134</v>
      </c>
      <c r="D104" s="392">
        <v>0</v>
      </c>
      <c r="E104" s="393">
        <v>-19422.124748575879</v>
      </c>
      <c r="F104" s="389">
        <v>-174720.43279736722</v>
      </c>
      <c r="G104" s="392">
        <v>-13005</v>
      </c>
      <c r="H104" s="392">
        <v>-279</v>
      </c>
      <c r="I104" s="392">
        <v>0</v>
      </c>
      <c r="J104" s="394">
        <v>-13284</v>
      </c>
      <c r="K104" s="392">
        <v>228530.86703473222</v>
      </c>
      <c r="L104" s="392">
        <v>58096.169640958389</v>
      </c>
      <c r="M104" s="15">
        <v>286627.03667569062</v>
      </c>
      <c r="N104" s="389">
        <v>0</v>
      </c>
      <c r="P104" s="715">
        <v>98622.603878323396</v>
      </c>
      <c r="Q104" s="716"/>
      <c r="R104" s="716"/>
      <c r="S104" s="717"/>
      <c r="T104" s="389">
        <v>483303.17001357669</v>
      </c>
      <c r="U104" s="390">
        <v>73612.230432897137</v>
      </c>
      <c r="V104" s="395">
        <v>655538.00432479719</v>
      </c>
      <c r="W104" s="408">
        <v>15296.200725272152</v>
      </c>
      <c r="X104" s="177"/>
      <c r="Y104" s="177"/>
      <c r="Z104" s="15"/>
    </row>
    <row r="105" spans="1:26" x14ac:dyDescent="0.25">
      <c r="A105" s="108">
        <v>5566</v>
      </c>
      <c r="B105" s="116" t="s">
        <v>199</v>
      </c>
      <c r="C105" s="392">
        <v>-561163.52175075235</v>
      </c>
      <c r="D105" s="392">
        <v>-3705</v>
      </c>
      <c r="E105" s="393">
        <v>-18592.798957146559</v>
      </c>
      <c r="F105" s="389">
        <v>-583461.32070789894</v>
      </c>
      <c r="G105" s="392">
        <v>-303771</v>
      </c>
      <c r="H105" s="392">
        <v>-23889</v>
      </c>
      <c r="I105" s="392">
        <v>0</v>
      </c>
      <c r="J105" s="394">
        <v>-327660</v>
      </c>
      <c r="K105" s="392">
        <v>190442.38919561019</v>
      </c>
      <c r="L105" s="392">
        <v>48413.474700798659</v>
      </c>
      <c r="M105" s="15">
        <v>238855.86389640885</v>
      </c>
      <c r="N105" s="389">
        <v>0</v>
      </c>
      <c r="P105" s="715">
        <v>-672265.45681149012</v>
      </c>
      <c r="Q105" s="716"/>
      <c r="R105" s="716"/>
      <c r="S105" s="717"/>
      <c r="T105" s="389">
        <v>402752.6416779806</v>
      </c>
      <c r="U105" s="390">
        <v>61343.525360747604</v>
      </c>
      <c r="V105" s="395">
        <v>-208169.28977276193</v>
      </c>
      <c r="W105" s="408">
        <v>12746.833937726793</v>
      </c>
      <c r="X105" s="177"/>
      <c r="Y105" s="177"/>
      <c r="Z105" s="15"/>
    </row>
    <row r="106" spans="1:26" x14ac:dyDescent="0.25">
      <c r="A106" s="108">
        <v>5568</v>
      </c>
      <c r="B106" s="116" t="s">
        <v>200</v>
      </c>
      <c r="C106" s="392">
        <v>-7396336.464474625</v>
      </c>
      <c r="D106" s="392">
        <v>-186682</v>
      </c>
      <c r="E106" s="393">
        <v>64575.703523982549</v>
      </c>
      <c r="F106" s="389">
        <v>-7518442.7609506426</v>
      </c>
      <c r="G106" s="392">
        <v>0</v>
      </c>
      <c r="H106" s="392">
        <v>-872161</v>
      </c>
      <c r="I106" s="392">
        <v>0</v>
      </c>
      <c r="J106" s="394">
        <v>-872161</v>
      </c>
      <c r="K106" s="392">
        <v>750445.27644852223</v>
      </c>
      <c r="L106" s="392">
        <v>589244.48364755185</v>
      </c>
      <c r="M106" s="15">
        <v>1339689.7600960741</v>
      </c>
      <c r="N106" s="389">
        <v>0</v>
      </c>
      <c r="P106" s="715">
        <v>-7050914.0008545695</v>
      </c>
      <c r="Q106" s="716"/>
      <c r="R106" s="716"/>
      <c r="S106" s="717"/>
      <c r="T106" s="389">
        <v>4901936.3689529635</v>
      </c>
      <c r="U106" s="390">
        <v>874379.93436943693</v>
      </c>
      <c r="V106" s="395">
        <v>-1274597.6975321691</v>
      </c>
      <c r="W106" s="408">
        <v>155142.79089026034</v>
      </c>
      <c r="X106" s="177"/>
      <c r="Y106" s="177"/>
      <c r="Z106" s="15"/>
    </row>
    <row r="107" spans="1:26" x14ac:dyDescent="0.25">
      <c r="A107" s="108">
        <v>5571</v>
      </c>
      <c r="B107" s="116" t="s">
        <v>201</v>
      </c>
      <c r="C107" s="392">
        <v>-865956.27259204467</v>
      </c>
      <c r="D107" s="392">
        <v>0</v>
      </c>
      <c r="E107" s="393">
        <v>-11803.561501040414</v>
      </c>
      <c r="F107" s="389">
        <v>-877759.83409308502</v>
      </c>
      <c r="G107" s="392">
        <v>-79948</v>
      </c>
      <c r="H107" s="392">
        <v>-85199</v>
      </c>
      <c r="I107" s="392">
        <v>-62119</v>
      </c>
      <c r="J107" s="394">
        <v>-227266</v>
      </c>
      <c r="K107" s="392">
        <v>396946.1847089224</v>
      </c>
      <c r="L107" s="392">
        <v>100910.01353298998</v>
      </c>
      <c r="M107" s="15">
        <v>497856.19824191241</v>
      </c>
      <c r="N107" s="389">
        <v>0</v>
      </c>
      <c r="P107" s="715">
        <v>-607169.63585117261</v>
      </c>
      <c r="Q107" s="716"/>
      <c r="R107" s="716"/>
      <c r="S107" s="717"/>
      <c r="T107" s="389">
        <v>839472.37361795956</v>
      </c>
      <c r="U107" s="390">
        <v>127860.60105312453</v>
      </c>
      <c r="V107" s="395">
        <v>360163.33881991147</v>
      </c>
      <c r="W107" s="408">
        <v>26568.702062972716</v>
      </c>
      <c r="X107" s="177"/>
      <c r="Y107" s="177"/>
      <c r="Z107" s="15"/>
    </row>
    <row r="108" spans="1:26" x14ac:dyDescent="0.25">
      <c r="A108" s="108">
        <v>5581</v>
      </c>
      <c r="B108" s="116" t="s">
        <v>202</v>
      </c>
      <c r="C108" s="392">
        <v>1519797.8014436141</v>
      </c>
      <c r="D108" s="392">
        <v>0</v>
      </c>
      <c r="E108" s="393">
        <v>-109910.46311335661</v>
      </c>
      <c r="F108" s="389">
        <v>1409887.3383302575</v>
      </c>
      <c r="G108" s="392">
        <v>0</v>
      </c>
      <c r="H108" s="392">
        <v>-44716</v>
      </c>
      <c r="I108" s="392">
        <v>0</v>
      </c>
      <c r="J108" s="394">
        <v>-44716</v>
      </c>
      <c r="K108" s="392">
        <v>833905.51484862715</v>
      </c>
      <c r="L108" s="392">
        <v>-524522.95068840589</v>
      </c>
      <c r="M108" s="15">
        <v>309382.56416022126</v>
      </c>
      <c r="N108" s="389">
        <v>0</v>
      </c>
      <c r="P108" s="715">
        <v>1674553.9024904787</v>
      </c>
      <c r="Q108" s="716"/>
      <c r="R108" s="716"/>
      <c r="S108" s="717"/>
      <c r="T108" s="389">
        <v>3781022.3903070176</v>
      </c>
      <c r="U108" s="390">
        <v>119666.66270212912</v>
      </c>
      <c r="V108" s="395">
        <v>5575242.9554996258</v>
      </c>
      <c r="W108" s="408">
        <v>119666.66270212912</v>
      </c>
      <c r="X108" s="177"/>
      <c r="Y108" s="177"/>
      <c r="Z108" s="15"/>
    </row>
    <row r="109" spans="1:26" x14ac:dyDescent="0.25">
      <c r="A109" s="108">
        <v>5582</v>
      </c>
      <c r="B109" s="116" t="s">
        <v>203</v>
      </c>
      <c r="C109" s="392">
        <v>-2984438.1758346856</v>
      </c>
      <c r="D109" s="392">
        <v>0</v>
      </c>
      <c r="E109" s="393">
        <v>-429176.60677229788</v>
      </c>
      <c r="F109" s="389">
        <v>-3413614.7826069836</v>
      </c>
      <c r="G109" s="392">
        <v>0</v>
      </c>
      <c r="H109" s="392">
        <v>0</v>
      </c>
      <c r="I109" s="392">
        <v>0</v>
      </c>
      <c r="J109" s="394">
        <v>0</v>
      </c>
      <c r="K109" s="392">
        <v>765547.60530187422</v>
      </c>
      <c r="L109" s="392">
        <v>564862.75783437851</v>
      </c>
      <c r="M109" s="15">
        <v>1330410.3631362529</v>
      </c>
      <c r="N109" s="389">
        <v>0</v>
      </c>
      <c r="P109" s="715">
        <v>-2083204.4194707307</v>
      </c>
      <c r="Q109" s="716"/>
      <c r="R109" s="716"/>
      <c r="S109" s="717"/>
      <c r="T109" s="389">
        <v>4699104.3156741736</v>
      </c>
      <c r="U109" s="390">
        <v>834997.31444436312</v>
      </c>
      <c r="V109" s="395">
        <v>3450897.2106478061</v>
      </c>
      <c r="W109" s="408">
        <v>148723.30102764611</v>
      </c>
      <c r="X109" s="177"/>
      <c r="Y109" s="177"/>
      <c r="Z109" s="15"/>
    </row>
    <row r="110" spans="1:26" x14ac:dyDescent="0.25">
      <c r="A110" s="108">
        <v>5583</v>
      </c>
      <c r="B110" s="116" t="s">
        <v>204</v>
      </c>
      <c r="C110" s="392">
        <v>-4670297.0556167504</v>
      </c>
      <c r="D110" s="392">
        <v>0</v>
      </c>
      <c r="E110" s="393">
        <v>262041.8250402268</v>
      </c>
      <c r="F110" s="389">
        <v>-4408255.2305765236</v>
      </c>
      <c r="G110" s="392">
        <v>0</v>
      </c>
      <c r="H110" s="392">
        <v>0</v>
      </c>
      <c r="I110" s="392">
        <v>0</v>
      </c>
      <c r="J110" s="394">
        <v>0</v>
      </c>
      <c r="K110" s="392">
        <v>441461.74450146686</v>
      </c>
      <c r="L110" s="392">
        <v>-2149312.5236739493</v>
      </c>
      <c r="M110" s="15">
        <v>-1707850.7791724824</v>
      </c>
      <c r="N110" s="389">
        <v>0</v>
      </c>
      <c r="P110" s="715">
        <v>-6116106.0097490065</v>
      </c>
      <c r="Q110" s="716"/>
      <c r="R110" s="716"/>
      <c r="S110" s="717"/>
      <c r="T110" s="389">
        <v>9051744.3106759638</v>
      </c>
      <c r="U110" s="390">
        <v>286481.25334259711</v>
      </c>
      <c r="V110" s="395">
        <v>3222119.5542695546</v>
      </c>
      <c r="W110" s="408">
        <v>286481.25334259711</v>
      </c>
      <c r="X110" s="177"/>
      <c r="Y110" s="177"/>
      <c r="Z110" s="15"/>
    </row>
    <row r="111" spans="1:26" x14ac:dyDescent="0.25">
      <c r="A111" s="108">
        <v>5584</v>
      </c>
      <c r="B111" s="116" t="s">
        <v>205</v>
      </c>
      <c r="C111" s="392">
        <v>1732355.0001846864</v>
      </c>
      <c r="D111" s="392">
        <v>0</v>
      </c>
      <c r="E111" s="393">
        <v>-126841.40413330705</v>
      </c>
      <c r="F111" s="389">
        <v>1605513.5960513793</v>
      </c>
      <c r="G111" s="392">
        <v>0</v>
      </c>
      <c r="H111" s="392">
        <v>-671052</v>
      </c>
      <c r="I111" s="392">
        <v>0</v>
      </c>
      <c r="J111" s="394">
        <v>-671052</v>
      </c>
      <c r="K111" s="392">
        <v>399334.19559474662</v>
      </c>
      <c r="L111" s="392">
        <v>-1399792.1779399645</v>
      </c>
      <c r="M111" s="15">
        <v>-1000457.9823452178</v>
      </c>
      <c r="N111" s="389">
        <v>-334500</v>
      </c>
      <c r="P111" s="715">
        <v>-400496.3862938385</v>
      </c>
      <c r="Q111" s="716"/>
      <c r="R111" s="716"/>
      <c r="S111" s="717"/>
      <c r="T111" s="389">
        <v>9617538.9856115356</v>
      </c>
      <c r="U111" s="390">
        <v>1835971.7010163674</v>
      </c>
      <c r="V111" s="395">
        <v>11053014.300334066</v>
      </c>
      <c r="W111" s="408">
        <v>304388.25138041575</v>
      </c>
      <c r="X111" s="177"/>
      <c r="Y111" s="177"/>
      <c r="Z111" s="15"/>
    </row>
    <row r="112" spans="1:26" x14ac:dyDescent="0.25">
      <c r="A112" s="108">
        <v>5585</v>
      </c>
      <c r="B112" s="116" t="s">
        <v>206</v>
      </c>
      <c r="C112" s="392">
        <v>9582221.4014539123</v>
      </c>
      <c r="D112" s="392">
        <v>0</v>
      </c>
      <c r="E112" s="393">
        <v>80663.237571036676</v>
      </c>
      <c r="F112" s="389">
        <v>9662884.6390249487</v>
      </c>
      <c r="G112" s="392">
        <v>0</v>
      </c>
      <c r="H112" s="392">
        <v>0</v>
      </c>
      <c r="I112" s="392">
        <v>0</v>
      </c>
      <c r="J112" s="394">
        <v>0</v>
      </c>
      <c r="K112" s="392">
        <v>567296.4634247506</v>
      </c>
      <c r="L112" s="392">
        <v>174171.84994769251</v>
      </c>
      <c r="M112" s="15">
        <v>741468.31337244308</v>
      </c>
      <c r="N112" s="389">
        <v>0</v>
      </c>
      <c r="P112" s="715">
        <v>10404352.952397391</v>
      </c>
      <c r="Q112" s="716"/>
      <c r="R112" s="716"/>
      <c r="S112" s="717"/>
      <c r="T112" s="389">
        <v>1448939.0217475302</v>
      </c>
      <c r="U112" s="390">
        <v>233034.4298342698</v>
      </c>
      <c r="V112" s="395">
        <v>12086326.40397919</v>
      </c>
      <c r="W112" s="408">
        <v>45857.88691331591</v>
      </c>
      <c r="X112" s="177"/>
      <c r="Y112" s="177"/>
      <c r="Z112" s="15"/>
    </row>
    <row r="113" spans="1:26" x14ac:dyDescent="0.25">
      <c r="A113" s="108">
        <v>5586</v>
      </c>
      <c r="B113" s="116" t="s">
        <v>69</v>
      </c>
      <c r="C113" s="392">
        <v>945104.97744790569</v>
      </c>
      <c r="D113" s="392">
        <v>0</v>
      </c>
      <c r="E113" s="393">
        <v>-5734541.0371649675</v>
      </c>
      <c r="F113" s="389">
        <v>-4789436.0597170619</v>
      </c>
      <c r="G113" s="392">
        <v>0</v>
      </c>
      <c r="H113" s="392">
        <v>-247174</v>
      </c>
      <c r="I113" s="392">
        <v>0</v>
      </c>
      <c r="J113" s="394">
        <v>-247174</v>
      </c>
      <c r="K113" s="392">
        <v>-80270091.325175539</v>
      </c>
      <c r="L113" s="392">
        <v>-24571624.076466016</v>
      </c>
      <c r="M113" s="15">
        <v>-104841715.40164155</v>
      </c>
      <c r="N113" s="389">
        <v>0</v>
      </c>
      <c r="P113" s="715">
        <v>-109878325.46135861</v>
      </c>
      <c r="Q113" s="716"/>
      <c r="R113" s="716"/>
      <c r="S113" s="717"/>
      <c r="T113" s="389">
        <v>140104542.44781125</v>
      </c>
      <c r="U113" s="390">
        <v>4434208.8708913941</v>
      </c>
      <c r="V113" s="395">
        <v>34660425.857344031</v>
      </c>
      <c r="W113" s="408">
        <v>4434208.8708913941</v>
      </c>
      <c r="X113" s="177"/>
      <c r="Y113" s="177"/>
      <c r="Z113" s="15"/>
    </row>
    <row r="114" spans="1:26" x14ac:dyDescent="0.25">
      <c r="A114" s="108">
        <v>5587</v>
      </c>
      <c r="B114" s="116" t="s">
        <v>70</v>
      </c>
      <c r="C114" s="392">
        <v>2359970.4558695354</v>
      </c>
      <c r="D114" s="392">
        <v>0</v>
      </c>
      <c r="E114" s="393">
        <v>493884.82132872986</v>
      </c>
      <c r="F114" s="389">
        <v>2853855.2771982653</v>
      </c>
      <c r="G114" s="392">
        <v>0</v>
      </c>
      <c r="H114" s="392">
        <v>-30791</v>
      </c>
      <c r="I114" s="392">
        <v>0</v>
      </c>
      <c r="J114" s="394">
        <v>-30791</v>
      </c>
      <c r="K114" s="392">
        <v>445291.52167480532</v>
      </c>
      <c r="L114" s="392">
        <v>-760570.33615612844</v>
      </c>
      <c r="M114" s="15">
        <v>-315278.81448132312</v>
      </c>
      <c r="N114" s="389">
        <v>-582300</v>
      </c>
      <c r="P114" s="715">
        <v>1925485.4627169422</v>
      </c>
      <c r="Q114" s="716"/>
      <c r="R114" s="716"/>
      <c r="S114" s="717"/>
      <c r="T114" s="389">
        <v>9000308.431136366</v>
      </c>
      <c r="U114" s="390">
        <v>1710107.8682138468</v>
      </c>
      <c r="V114" s="395">
        <v>12635901.762067156</v>
      </c>
      <c r="W114" s="408">
        <v>284853.34443006816</v>
      </c>
      <c r="X114" s="177"/>
      <c r="Y114" s="177"/>
      <c r="Z114" s="15"/>
    </row>
    <row r="115" spans="1:26" x14ac:dyDescent="0.25">
      <c r="A115" s="108">
        <v>5588</v>
      </c>
      <c r="B115" s="116" t="s">
        <v>207</v>
      </c>
      <c r="C115" s="392">
        <v>2616010.9239961826</v>
      </c>
      <c r="D115" s="392">
        <v>0</v>
      </c>
      <c r="E115" s="393">
        <v>12596.325816647208</v>
      </c>
      <c r="F115" s="389">
        <v>2628607.2498128298</v>
      </c>
      <c r="G115" s="392">
        <v>0</v>
      </c>
      <c r="H115" s="392">
        <v>0</v>
      </c>
      <c r="I115" s="392">
        <v>0</v>
      </c>
      <c r="J115" s="394">
        <v>0</v>
      </c>
      <c r="K115" s="392">
        <v>577190.90825798095</v>
      </c>
      <c r="L115" s="392">
        <v>-193133.89816908829</v>
      </c>
      <c r="M115" s="15">
        <v>384057.01008889265</v>
      </c>
      <c r="N115" s="389">
        <v>0</v>
      </c>
      <c r="P115" s="715">
        <v>3012664.2599017224</v>
      </c>
      <c r="Q115" s="716"/>
      <c r="R115" s="716"/>
      <c r="S115" s="717"/>
      <c r="T115" s="389">
        <v>1492610.994941528</v>
      </c>
      <c r="U115" s="390">
        <v>47240.073725840506</v>
      </c>
      <c r="V115" s="395">
        <v>4552515.32856909</v>
      </c>
      <c r="W115" s="408">
        <v>47240.073725840506</v>
      </c>
      <c r="X115" s="177"/>
      <c r="Y115" s="177"/>
      <c r="Z115" s="15"/>
    </row>
    <row r="116" spans="1:26" x14ac:dyDescent="0.25">
      <c r="A116" s="108">
        <v>5589</v>
      </c>
      <c r="B116" s="116" t="s">
        <v>208</v>
      </c>
      <c r="C116" s="392">
        <v>-8140578.2159082014</v>
      </c>
      <c r="D116" s="392">
        <v>0</v>
      </c>
      <c r="E116" s="393">
        <v>-366582.04872999038</v>
      </c>
      <c r="F116" s="389">
        <v>-8507160.2646381911</v>
      </c>
      <c r="G116" s="392">
        <v>0</v>
      </c>
      <c r="H116" s="392">
        <v>0</v>
      </c>
      <c r="I116" s="392">
        <v>0</v>
      </c>
      <c r="J116" s="394">
        <v>0</v>
      </c>
      <c r="K116" s="392">
        <v>41705.259317245334</v>
      </c>
      <c r="L116" s="392">
        <v>-1211890.6707665084</v>
      </c>
      <c r="M116" s="15">
        <v>-1170185.4114492631</v>
      </c>
      <c r="N116" s="389">
        <v>-14300</v>
      </c>
      <c r="P116" s="715">
        <v>-9691645.676087454</v>
      </c>
      <c r="Q116" s="716"/>
      <c r="R116" s="716"/>
      <c r="S116" s="717"/>
      <c r="T116" s="389">
        <v>12071903.879114218</v>
      </c>
      <c r="U116" s="390">
        <v>382067.15024429781</v>
      </c>
      <c r="V116" s="395">
        <v>2762325.353271062</v>
      </c>
      <c r="W116" s="408">
        <v>382067.15024429781</v>
      </c>
      <c r="X116" s="177"/>
      <c r="Y116" s="177"/>
      <c r="Z116" s="15"/>
    </row>
    <row r="117" spans="1:26" x14ac:dyDescent="0.25">
      <c r="A117" s="108">
        <v>5590</v>
      </c>
      <c r="B117" s="116" t="s">
        <v>209</v>
      </c>
      <c r="C117" s="392">
        <v>35578149.462504394</v>
      </c>
      <c r="D117" s="392">
        <v>0</v>
      </c>
      <c r="E117" s="393">
        <v>1814252.8000843027</v>
      </c>
      <c r="F117" s="389">
        <v>37392402.262588695</v>
      </c>
      <c r="G117" s="392">
        <v>0</v>
      </c>
      <c r="H117" s="392">
        <v>-4623</v>
      </c>
      <c r="I117" s="392">
        <v>0</v>
      </c>
      <c r="J117" s="394">
        <v>-4623</v>
      </c>
      <c r="K117" s="392">
        <v>-3414622.8958789464</v>
      </c>
      <c r="L117" s="392">
        <v>-4274298.1469252706</v>
      </c>
      <c r="M117" s="15">
        <v>-7688921.042804217</v>
      </c>
      <c r="N117" s="389">
        <v>0</v>
      </c>
      <c r="P117" s="715">
        <v>29698858.219784476</v>
      </c>
      <c r="Q117" s="716"/>
      <c r="R117" s="716"/>
      <c r="S117" s="717"/>
      <c r="T117" s="389">
        <v>18728483.082172696</v>
      </c>
      <c r="U117" s="390">
        <v>592743.13573554612</v>
      </c>
      <c r="V117" s="395">
        <v>49020084.437692724</v>
      </c>
      <c r="W117" s="408">
        <v>592743.13573554612</v>
      </c>
      <c r="X117" s="177"/>
      <c r="Y117" s="177"/>
      <c r="Z117" s="15"/>
    </row>
    <row r="118" spans="1:26" x14ac:dyDescent="0.25">
      <c r="A118" s="108">
        <v>5591</v>
      </c>
      <c r="B118" s="116" t="s">
        <v>210</v>
      </c>
      <c r="C118" s="392">
        <v>-21171483.518598866</v>
      </c>
      <c r="D118" s="392">
        <v>0</v>
      </c>
      <c r="E118" s="393">
        <v>-587126.7186605013</v>
      </c>
      <c r="F118" s="389">
        <v>-21758610.237259366</v>
      </c>
      <c r="G118" s="392">
        <v>0</v>
      </c>
      <c r="H118" s="392">
        <v>0</v>
      </c>
      <c r="I118" s="392">
        <v>0</v>
      </c>
      <c r="J118" s="394">
        <v>0</v>
      </c>
      <c r="K118" s="392">
        <v>-4550099.0774631593</v>
      </c>
      <c r="L118" s="392">
        <v>-3391175.7758212509</v>
      </c>
      <c r="M118" s="15">
        <v>-7941274.8532844102</v>
      </c>
      <c r="N118" s="389">
        <v>-86300</v>
      </c>
      <c r="P118" s="715">
        <v>-29786185.090543777</v>
      </c>
      <c r="Q118" s="716"/>
      <c r="R118" s="716"/>
      <c r="S118" s="717"/>
      <c r="T118" s="389">
        <v>20832501.701830197</v>
      </c>
      <c r="U118" s="390">
        <v>659333.82483673096</v>
      </c>
      <c r="V118" s="395">
        <v>-8294349.5638768487</v>
      </c>
      <c r="W118" s="408">
        <v>659333.82483673096</v>
      </c>
      <c r="X118" s="177"/>
      <c r="Y118" s="177"/>
      <c r="Z118" s="15"/>
    </row>
    <row r="119" spans="1:26" x14ac:dyDescent="0.25">
      <c r="A119" s="108">
        <v>5592</v>
      </c>
      <c r="B119" s="116" t="s">
        <v>211</v>
      </c>
      <c r="C119" s="392">
        <v>-3111105.1040927391</v>
      </c>
      <c r="D119" s="392">
        <v>0</v>
      </c>
      <c r="E119" s="393">
        <v>-240587.3725227206</v>
      </c>
      <c r="F119" s="389">
        <v>-3351692.4766154597</v>
      </c>
      <c r="G119" s="392">
        <v>0</v>
      </c>
      <c r="H119" s="392">
        <v>0</v>
      </c>
      <c r="I119" s="392">
        <v>0</v>
      </c>
      <c r="J119" s="394">
        <v>0</v>
      </c>
      <c r="K119" s="392">
        <v>826968.55996861821</v>
      </c>
      <c r="L119" s="392">
        <v>465702.62892912829</v>
      </c>
      <c r="M119" s="15">
        <v>1292671.1888977466</v>
      </c>
      <c r="N119" s="389">
        <v>0</v>
      </c>
      <c r="P119" s="715">
        <v>-2059021.287717713</v>
      </c>
      <c r="Q119" s="716"/>
      <c r="R119" s="716"/>
      <c r="S119" s="717"/>
      <c r="T119" s="389">
        <v>3874189.2664542133</v>
      </c>
      <c r="U119" s="390">
        <v>677425.79168039444</v>
      </c>
      <c r="V119" s="395">
        <v>2492593.7704168949</v>
      </c>
      <c r="W119" s="408">
        <v>122615.32790218158</v>
      </c>
      <c r="X119" s="177"/>
      <c r="Y119" s="177"/>
      <c r="Z119" s="15"/>
    </row>
    <row r="120" spans="1:26" x14ac:dyDescent="0.25">
      <c r="A120" s="108">
        <v>5601</v>
      </c>
      <c r="B120" s="116" t="s">
        <v>212</v>
      </c>
      <c r="C120" s="392">
        <v>-363825.17717109132</v>
      </c>
      <c r="D120" s="392">
        <v>0</v>
      </c>
      <c r="E120" s="393">
        <v>-201890.1263841851</v>
      </c>
      <c r="F120" s="389">
        <v>-565715.30355527648</v>
      </c>
      <c r="G120" s="392">
        <v>0</v>
      </c>
      <c r="H120" s="392">
        <v>0</v>
      </c>
      <c r="I120" s="392">
        <v>0</v>
      </c>
      <c r="J120" s="394">
        <v>0</v>
      </c>
      <c r="K120" s="392">
        <v>729345.48213787831</v>
      </c>
      <c r="L120" s="392">
        <v>260149.51465730363</v>
      </c>
      <c r="M120" s="15">
        <v>989494.99679518188</v>
      </c>
      <c r="N120" s="389">
        <v>0</v>
      </c>
      <c r="P120" s="715">
        <v>423779.69323990541</v>
      </c>
      <c r="Q120" s="716"/>
      <c r="R120" s="716"/>
      <c r="S120" s="717"/>
      <c r="T120" s="389">
        <v>2164188.8938358957</v>
      </c>
      <c r="U120" s="390">
        <v>68495.035376218671</v>
      </c>
      <c r="V120" s="395">
        <v>2656463.6224520197</v>
      </c>
      <c r="W120" s="408">
        <v>68495.035376218671</v>
      </c>
      <c r="X120" s="177"/>
      <c r="Y120" s="177"/>
      <c r="Z120" s="15"/>
    </row>
    <row r="121" spans="1:26" x14ac:dyDescent="0.25">
      <c r="A121" s="108">
        <v>5604</v>
      </c>
      <c r="B121" s="116" t="s">
        <v>213</v>
      </c>
      <c r="C121" s="392">
        <v>-1340533.5283932381</v>
      </c>
      <c r="D121" s="392">
        <v>0</v>
      </c>
      <c r="E121" s="393">
        <v>-198791.26206838331</v>
      </c>
      <c r="F121" s="389">
        <v>-1539324.7904616215</v>
      </c>
      <c r="G121" s="392">
        <v>-23698</v>
      </c>
      <c r="H121" s="392">
        <v>-30230</v>
      </c>
      <c r="I121" s="392">
        <v>-6372</v>
      </c>
      <c r="J121" s="394">
        <v>-60300</v>
      </c>
      <c r="K121" s="392">
        <v>693725.48073824937</v>
      </c>
      <c r="L121" s="392">
        <v>241250.76067771474</v>
      </c>
      <c r="M121" s="15">
        <v>934976.24141596409</v>
      </c>
      <c r="N121" s="389">
        <v>-49200</v>
      </c>
      <c r="P121" s="715">
        <v>-713848.54904565739</v>
      </c>
      <c r="Q121" s="716"/>
      <c r="R121" s="716"/>
      <c r="S121" s="717"/>
      <c r="T121" s="389">
        <v>2006969.7903375032</v>
      </c>
      <c r="U121" s="390">
        <v>332427.44401727902</v>
      </c>
      <c r="V121" s="395">
        <v>1625548.6853091246</v>
      </c>
      <c r="W121" s="408">
        <v>63519.162851130146</v>
      </c>
      <c r="X121" s="177"/>
      <c r="Y121" s="177"/>
      <c r="Z121" s="15"/>
    </row>
    <row r="122" spans="1:26" x14ac:dyDescent="0.25">
      <c r="A122" s="108">
        <v>5606</v>
      </c>
      <c r="B122" s="116" t="s">
        <v>214</v>
      </c>
      <c r="C122" s="392">
        <v>24743687.285956759</v>
      </c>
      <c r="D122" s="392">
        <v>0</v>
      </c>
      <c r="E122" s="393">
        <v>2231136.8212136044</v>
      </c>
      <c r="F122" s="389">
        <v>26974824.107170362</v>
      </c>
      <c r="G122" s="392">
        <v>0</v>
      </c>
      <c r="H122" s="392">
        <v>-7761</v>
      </c>
      <c r="I122" s="392">
        <v>0</v>
      </c>
      <c r="J122" s="394">
        <v>-7761</v>
      </c>
      <c r="K122" s="392">
        <v>335311.88284800015</v>
      </c>
      <c r="L122" s="392">
        <v>-1540079.8999281391</v>
      </c>
      <c r="M122" s="15">
        <v>-1204768.0170801389</v>
      </c>
      <c r="N122" s="389">
        <v>0</v>
      </c>
      <c r="P122" s="715">
        <v>25762295.090090223</v>
      </c>
      <c r="Q122" s="716"/>
      <c r="R122" s="716"/>
      <c r="S122" s="717"/>
      <c r="T122" s="389">
        <v>10477391.613386694</v>
      </c>
      <c r="U122" s="390">
        <v>331601.97395589988</v>
      </c>
      <c r="V122" s="395">
        <v>36571288.67743282</v>
      </c>
      <c r="W122" s="408">
        <v>331601.97395589988</v>
      </c>
      <c r="X122" s="177"/>
      <c r="Y122" s="177"/>
      <c r="Z122" s="15"/>
    </row>
    <row r="123" spans="1:26" x14ac:dyDescent="0.25">
      <c r="A123" s="108">
        <v>5607</v>
      </c>
      <c r="B123" s="116" t="s">
        <v>215</v>
      </c>
      <c r="C123" s="392">
        <v>-628749.41229055997</v>
      </c>
      <c r="D123" s="392">
        <v>0</v>
      </c>
      <c r="E123" s="393">
        <v>67327.962906203815</v>
      </c>
      <c r="F123" s="389">
        <v>-561421.44938435615</v>
      </c>
      <c r="G123" s="392">
        <v>0</v>
      </c>
      <c r="H123" s="392">
        <v>-12635</v>
      </c>
      <c r="I123" s="392">
        <v>0</v>
      </c>
      <c r="J123" s="394">
        <v>-12635</v>
      </c>
      <c r="K123" s="392">
        <v>897783.30770204077</v>
      </c>
      <c r="L123" s="392">
        <v>351376.83325013384</v>
      </c>
      <c r="M123" s="15">
        <v>1249160.1409521746</v>
      </c>
      <c r="N123" s="389">
        <v>-262100</v>
      </c>
      <c r="P123" s="715">
        <v>413003.6915678184</v>
      </c>
      <c r="Q123" s="716"/>
      <c r="R123" s="716"/>
      <c r="S123" s="717"/>
      <c r="T123" s="389">
        <v>2923110.7391182589</v>
      </c>
      <c r="U123" s="390">
        <v>92514.370651646022</v>
      </c>
      <c r="V123" s="395">
        <v>3428628.8013377232</v>
      </c>
      <c r="W123" s="408">
        <v>92514.370651646022</v>
      </c>
      <c r="X123" s="177"/>
      <c r="Y123" s="177"/>
      <c r="Z123" s="15"/>
    </row>
    <row r="124" spans="1:26" x14ac:dyDescent="0.25">
      <c r="A124" s="108">
        <v>5609</v>
      </c>
      <c r="B124" s="116" t="s">
        <v>216</v>
      </c>
      <c r="C124" s="392">
        <v>-108715.1751737884</v>
      </c>
      <c r="D124" s="392">
        <v>0</v>
      </c>
      <c r="E124" s="393">
        <v>-54274.997265131991</v>
      </c>
      <c r="F124" s="389">
        <v>-162990.17243892039</v>
      </c>
      <c r="G124" s="392">
        <v>0</v>
      </c>
      <c r="H124" s="392">
        <v>0</v>
      </c>
      <c r="I124" s="392">
        <v>0</v>
      </c>
      <c r="J124" s="394">
        <v>0</v>
      </c>
      <c r="K124" s="392">
        <v>149600.52741631065</v>
      </c>
      <c r="L124" s="392">
        <v>38030.82590954304</v>
      </c>
      <c r="M124" s="15">
        <v>187631.35332585371</v>
      </c>
      <c r="N124" s="389">
        <v>0</v>
      </c>
      <c r="P124" s="715">
        <v>24641.180886933318</v>
      </c>
      <c r="Q124" s="716"/>
      <c r="R124" s="716"/>
      <c r="S124" s="717"/>
      <c r="T124" s="389">
        <v>316379.18358318473</v>
      </c>
      <c r="U124" s="390">
        <v>10013.175575178157</v>
      </c>
      <c r="V124" s="395">
        <v>351033.54004529625</v>
      </c>
      <c r="W124" s="408">
        <v>10013.175575178157</v>
      </c>
      <c r="X124" s="177"/>
      <c r="Y124" s="177"/>
      <c r="Z124" s="15"/>
    </row>
    <row r="125" spans="1:26" x14ac:dyDescent="0.25">
      <c r="A125" s="108">
        <v>5610</v>
      </c>
      <c r="B125" s="116" t="s">
        <v>217</v>
      </c>
      <c r="C125" s="392">
        <v>19498.49187418594</v>
      </c>
      <c r="D125" s="392">
        <v>0</v>
      </c>
      <c r="E125" s="393">
        <v>-55365.515354805546</v>
      </c>
      <c r="F125" s="389">
        <v>-35867.023480619609</v>
      </c>
      <c r="G125" s="392">
        <v>0</v>
      </c>
      <c r="H125" s="392">
        <v>0</v>
      </c>
      <c r="I125" s="392">
        <v>0</v>
      </c>
      <c r="J125" s="394">
        <v>0</v>
      </c>
      <c r="K125" s="392">
        <v>179428.85343490017</v>
      </c>
      <c r="L125" s="392">
        <v>45613.65929641512</v>
      </c>
      <c r="M125" s="15">
        <v>225042.51273131528</v>
      </c>
      <c r="N125" s="389">
        <v>-5300</v>
      </c>
      <c r="P125" s="715">
        <v>183875.48925069568</v>
      </c>
      <c r="Q125" s="716"/>
      <c r="R125" s="716"/>
      <c r="S125" s="717"/>
      <c r="T125" s="389">
        <v>379460.92264118168</v>
      </c>
      <c r="U125" s="390">
        <v>12009.667637713677</v>
      </c>
      <c r="V125" s="395">
        <v>575346.07952959114</v>
      </c>
      <c r="W125" s="408">
        <v>12009.667637713677</v>
      </c>
      <c r="X125" s="177"/>
      <c r="Y125" s="177"/>
      <c r="Z125" s="15"/>
    </row>
    <row r="126" spans="1:26" x14ac:dyDescent="0.25">
      <c r="A126" s="108">
        <v>5611</v>
      </c>
      <c r="B126" s="116" t="s">
        <v>218</v>
      </c>
      <c r="C126" s="392">
        <v>-1279877.8322151119</v>
      </c>
      <c r="D126" s="392">
        <v>0</v>
      </c>
      <c r="E126" s="393">
        <v>71955.375797008979</v>
      </c>
      <c r="F126" s="389">
        <v>-1207922.4564181031</v>
      </c>
      <c r="G126" s="392">
        <v>0</v>
      </c>
      <c r="H126" s="392">
        <v>-122675</v>
      </c>
      <c r="I126" s="392">
        <v>0</v>
      </c>
      <c r="J126" s="394">
        <v>-122675</v>
      </c>
      <c r="K126" s="392">
        <v>866277.97095533437</v>
      </c>
      <c r="L126" s="392">
        <v>402240.14642976812</v>
      </c>
      <c r="M126" s="15">
        <v>1268518.1173851024</v>
      </c>
      <c r="N126" s="389">
        <v>0</v>
      </c>
      <c r="P126" s="715">
        <v>-62079.339033000637</v>
      </c>
      <c r="Q126" s="716"/>
      <c r="R126" s="716"/>
      <c r="S126" s="717"/>
      <c r="T126" s="389">
        <v>3346243.6349534388</v>
      </c>
      <c r="U126" s="390">
        <v>105906.22510188429</v>
      </c>
      <c r="V126" s="395">
        <v>3390070.5210223226</v>
      </c>
      <c r="W126" s="408">
        <v>105906.22510188429</v>
      </c>
      <c r="X126" s="177"/>
      <c r="Y126" s="177"/>
      <c r="Z126" s="15"/>
    </row>
    <row r="127" spans="1:26" x14ac:dyDescent="0.25">
      <c r="A127" s="108">
        <v>5613</v>
      </c>
      <c r="B127" s="116" t="s">
        <v>219</v>
      </c>
      <c r="C127" s="392">
        <v>5292940.2863611067</v>
      </c>
      <c r="D127" s="392">
        <v>0</v>
      </c>
      <c r="E127" s="393">
        <v>271961.70948886743</v>
      </c>
      <c r="F127" s="389">
        <v>5564901.9958499745</v>
      </c>
      <c r="G127" s="392">
        <v>0</v>
      </c>
      <c r="H127" s="392">
        <v>-31787</v>
      </c>
      <c r="I127" s="392">
        <v>0</v>
      </c>
      <c r="J127" s="394">
        <v>-31787</v>
      </c>
      <c r="K127" s="392">
        <v>724431.69564848952</v>
      </c>
      <c r="L127" s="392">
        <v>631241.71471330489</v>
      </c>
      <c r="M127" s="15">
        <v>1355673.4103617943</v>
      </c>
      <c r="N127" s="389">
        <v>0</v>
      </c>
      <c r="P127" s="715">
        <v>6888788.4062117692</v>
      </c>
      <c r="Q127" s="716"/>
      <c r="R127" s="716"/>
      <c r="S127" s="717"/>
      <c r="T127" s="389">
        <v>5251312.1545049464</v>
      </c>
      <c r="U127" s="390">
        <v>166200.28539045705</v>
      </c>
      <c r="V127" s="395">
        <v>12306300.846107172</v>
      </c>
      <c r="W127" s="408">
        <v>166200.28539045705</v>
      </c>
      <c r="X127" s="177"/>
      <c r="Y127" s="177"/>
      <c r="Z127" s="15"/>
    </row>
    <row r="128" spans="1:26" x14ac:dyDescent="0.25">
      <c r="A128" s="108">
        <v>5621</v>
      </c>
      <c r="B128" s="116" t="s">
        <v>220</v>
      </c>
      <c r="C128" s="392">
        <v>266479.73448920209</v>
      </c>
      <c r="D128" s="392">
        <v>0</v>
      </c>
      <c r="E128" s="393">
        <v>94736.539910287436</v>
      </c>
      <c r="F128" s="389">
        <v>361216.27439948951</v>
      </c>
      <c r="G128" s="392">
        <v>0</v>
      </c>
      <c r="H128" s="392">
        <v>0</v>
      </c>
      <c r="I128" s="392">
        <v>-3528</v>
      </c>
      <c r="J128" s="394">
        <v>-3528</v>
      </c>
      <c r="K128" s="392">
        <v>265242.65290376544</v>
      </c>
      <c r="L128" s="392">
        <v>67428.887655570172</v>
      </c>
      <c r="M128" s="15">
        <v>332671.54055933561</v>
      </c>
      <c r="N128" s="389">
        <v>0</v>
      </c>
      <c r="P128" s="715">
        <v>690359.81495882513</v>
      </c>
      <c r="Q128" s="716"/>
      <c r="R128" s="716"/>
      <c r="S128" s="717"/>
      <c r="T128" s="389">
        <v>560942.23346957297</v>
      </c>
      <c r="U128" s="390">
        <v>85437.488333764137</v>
      </c>
      <c r="V128" s="395">
        <v>1336739.5367621621</v>
      </c>
      <c r="W128" s="408">
        <v>17753.421725315871</v>
      </c>
      <c r="X128" s="177"/>
      <c r="Y128" s="177"/>
      <c r="Z128" s="15"/>
    </row>
    <row r="129" spans="1:26" x14ac:dyDescent="0.25">
      <c r="A129" s="108">
        <v>5622</v>
      </c>
      <c r="B129" s="116" t="s">
        <v>221</v>
      </c>
      <c r="C129" s="392">
        <v>2109.0690085205169</v>
      </c>
      <c r="D129" s="392">
        <v>0</v>
      </c>
      <c r="E129" s="393">
        <v>-56679.765493224055</v>
      </c>
      <c r="F129" s="389">
        <v>-54570.696484703542</v>
      </c>
      <c r="G129" s="392">
        <v>0</v>
      </c>
      <c r="H129" s="392">
        <v>0</v>
      </c>
      <c r="I129" s="392">
        <v>-6397</v>
      </c>
      <c r="J129" s="394">
        <v>-6397</v>
      </c>
      <c r="K129" s="392">
        <v>281762.95654483046</v>
      </c>
      <c r="L129" s="392">
        <v>71628.610762145487</v>
      </c>
      <c r="M129" s="15">
        <v>353391.56730697595</v>
      </c>
      <c r="N129" s="389">
        <v>0</v>
      </c>
      <c r="P129" s="715">
        <v>292423.87082227238</v>
      </c>
      <c r="Q129" s="716"/>
      <c r="R129" s="716"/>
      <c r="S129" s="717"/>
      <c r="T129" s="389">
        <v>595879.81202477124</v>
      </c>
      <c r="U129" s="390">
        <v>90758.854389154294</v>
      </c>
      <c r="V129" s="395">
        <v>979062.53723619785</v>
      </c>
      <c r="W129" s="408">
        <v>18859.171175335545</v>
      </c>
      <c r="X129" s="177"/>
      <c r="Y129" s="177"/>
      <c r="Z129" s="15"/>
    </row>
    <row r="130" spans="1:26" x14ac:dyDescent="0.25">
      <c r="A130" s="108">
        <v>5623</v>
      </c>
      <c r="B130" s="116" t="s">
        <v>222</v>
      </c>
      <c r="C130" s="392">
        <v>3201418.8610796905</v>
      </c>
      <c r="D130" s="392">
        <v>0</v>
      </c>
      <c r="E130" s="393">
        <v>-8409.6081170112739</v>
      </c>
      <c r="F130" s="389">
        <v>3193009.2529626791</v>
      </c>
      <c r="G130" s="392">
        <v>0</v>
      </c>
      <c r="H130" s="392">
        <v>0</v>
      </c>
      <c r="I130" s="392">
        <v>0</v>
      </c>
      <c r="J130" s="394">
        <v>0</v>
      </c>
      <c r="K130" s="392">
        <v>315262.46115032339</v>
      </c>
      <c r="L130" s="392">
        <v>80144.715950478741</v>
      </c>
      <c r="M130" s="15">
        <v>395407.17710080213</v>
      </c>
      <c r="N130" s="389">
        <v>0</v>
      </c>
      <c r="P130" s="715">
        <v>3588416.4300634814</v>
      </c>
      <c r="Q130" s="716"/>
      <c r="R130" s="716"/>
      <c r="S130" s="717"/>
      <c r="T130" s="389">
        <v>666725.45742836781</v>
      </c>
      <c r="U130" s="390">
        <v>21101.385337875439</v>
      </c>
      <c r="V130" s="395">
        <v>4276243.2728297245</v>
      </c>
      <c r="W130" s="408">
        <v>21101.385337875439</v>
      </c>
      <c r="X130" s="177"/>
      <c r="Y130" s="177"/>
      <c r="Z130" s="15"/>
    </row>
    <row r="131" spans="1:26" x14ac:dyDescent="0.25">
      <c r="A131" s="108">
        <v>5624</v>
      </c>
      <c r="B131" s="116" t="s">
        <v>223</v>
      </c>
      <c r="C131" s="392">
        <v>-5971817.4931293521</v>
      </c>
      <c r="D131" s="392">
        <v>0</v>
      </c>
      <c r="E131" s="393">
        <v>-358616.45445500012</v>
      </c>
      <c r="F131" s="389">
        <v>-6330433.9475843525</v>
      </c>
      <c r="G131" s="392">
        <v>0</v>
      </c>
      <c r="H131" s="392">
        <v>0</v>
      </c>
      <c r="I131" s="392">
        <v>0</v>
      </c>
      <c r="J131" s="394">
        <v>0</v>
      </c>
      <c r="K131" s="392">
        <v>346223.13479467947</v>
      </c>
      <c r="L131" s="392">
        <v>-828787.31511390558</v>
      </c>
      <c r="M131" s="15">
        <v>-482564.18031922611</v>
      </c>
      <c r="N131" s="389">
        <v>0</v>
      </c>
      <c r="P131" s="715">
        <v>-6812998.1279035788</v>
      </c>
      <c r="Q131" s="716"/>
      <c r="R131" s="716"/>
      <c r="S131" s="717"/>
      <c r="T131" s="389">
        <v>10330847.881113501</v>
      </c>
      <c r="U131" s="390">
        <v>326963.96931831737</v>
      </c>
      <c r="V131" s="395">
        <v>3844813.7225282397</v>
      </c>
      <c r="W131" s="408">
        <v>326963.96931831737</v>
      </c>
      <c r="X131" s="177"/>
      <c r="Y131" s="177"/>
      <c r="Z131" s="15"/>
    </row>
    <row r="132" spans="1:26" x14ac:dyDescent="0.25">
      <c r="A132" s="108">
        <v>5627</v>
      </c>
      <c r="B132" s="116" t="s">
        <v>224</v>
      </c>
      <c r="C132" s="392">
        <v>-13610992.337085189</v>
      </c>
      <c r="D132" s="392">
        <v>-329723</v>
      </c>
      <c r="E132" s="393">
        <v>-1299269.5031274154</v>
      </c>
      <c r="F132" s="389">
        <v>-15239984.840212604</v>
      </c>
      <c r="G132" s="392">
        <v>0</v>
      </c>
      <c r="H132" s="392">
        <v>0</v>
      </c>
      <c r="I132" s="392">
        <v>0</v>
      </c>
      <c r="J132" s="394">
        <v>0</v>
      </c>
      <c r="K132" s="392">
        <v>440739.14503479842</v>
      </c>
      <c r="L132" s="392">
        <v>-854664.49471962149</v>
      </c>
      <c r="M132" s="15">
        <v>-413925.34968482307</v>
      </c>
      <c r="N132" s="389">
        <v>0</v>
      </c>
      <c r="P132" s="715">
        <v>-15653910.189897427</v>
      </c>
      <c r="Q132" s="716"/>
      <c r="R132" s="716"/>
      <c r="S132" s="717"/>
      <c r="T132" s="389">
        <v>9061449.1936079636</v>
      </c>
      <c r="U132" s="390">
        <v>286788.40596760256</v>
      </c>
      <c r="V132" s="395">
        <v>-6305672.5903218612</v>
      </c>
      <c r="W132" s="408">
        <v>286788.40596760256</v>
      </c>
      <c r="X132" s="177"/>
      <c r="Y132" s="177"/>
      <c r="Z132" s="15"/>
    </row>
    <row r="133" spans="1:26" x14ac:dyDescent="0.25">
      <c r="A133" s="108">
        <v>5628</v>
      </c>
      <c r="B133" s="116" t="s">
        <v>225</v>
      </c>
      <c r="C133" s="392">
        <v>485991.31369637698</v>
      </c>
      <c r="D133" s="392">
        <v>0</v>
      </c>
      <c r="E133" s="393">
        <v>6844.0283255039831</v>
      </c>
      <c r="F133" s="389">
        <v>492835.34202188096</v>
      </c>
      <c r="G133" s="392">
        <v>0</v>
      </c>
      <c r="H133" s="392">
        <v>0</v>
      </c>
      <c r="I133" s="392">
        <v>0</v>
      </c>
      <c r="J133" s="394">
        <v>0</v>
      </c>
      <c r="K133" s="392">
        <v>193654.67045915057</v>
      </c>
      <c r="L133" s="392">
        <v>49230.087527077187</v>
      </c>
      <c r="M133" s="15">
        <v>242884.75798622775</v>
      </c>
      <c r="N133" s="389">
        <v>0</v>
      </c>
      <c r="P133" s="715">
        <v>735720.10000810865</v>
      </c>
      <c r="Q133" s="716"/>
      <c r="R133" s="716"/>
      <c r="S133" s="717"/>
      <c r="T133" s="389">
        <v>409546.05973038025</v>
      </c>
      <c r="U133" s="390">
        <v>62378.235427073465</v>
      </c>
      <c r="V133" s="395">
        <v>1207644.3951655624</v>
      </c>
      <c r="W133" s="408">
        <v>12961.840775230619</v>
      </c>
      <c r="X133" s="177"/>
      <c r="Y133" s="177"/>
      <c r="Z133" s="15"/>
    </row>
    <row r="134" spans="1:26" x14ac:dyDescent="0.25">
      <c r="A134" s="108">
        <v>5629</v>
      </c>
      <c r="B134" s="116" t="s">
        <v>226</v>
      </c>
      <c r="C134" s="392">
        <v>31928.02415782262</v>
      </c>
      <c r="D134" s="392">
        <v>0</v>
      </c>
      <c r="E134" s="393">
        <v>-22960.592871361674</v>
      </c>
      <c r="F134" s="389">
        <v>8967.4312864609456</v>
      </c>
      <c r="G134" s="392">
        <v>0</v>
      </c>
      <c r="H134" s="392">
        <v>0</v>
      </c>
      <c r="I134" s="392">
        <v>0</v>
      </c>
      <c r="J134" s="394">
        <v>0</v>
      </c>
      <c r="K134" s="392">
        <v>100498.51381647862</v>
      </c>
      <c r="L134" s="392">
        <v>25548.315564999775</v>
      </c>
      <c r="M134" s="15">
        <v>126046.8293814784</v>
      </c>
      <c r="N134" s="389">
        <v>-25400</v>
      </c>
      <c r="P134" s="715">
        <v>109614.26066793935</v>
      </c>
      <c r="Q134" s="716"/>
      <c r="R134" s="716"/>
      <c r="S134" s="717"/>
      <c r="T134" s="389">
        <v>212536.93621078975</v>
      </c>
      <c r="U134" s="390">
        <v>32371.643503623436</v>
      </c>
      <c r="V134" s="395">
        <v>354522.84038235253</v>
      </c>
      <c r="W134" s="408">
        <v>6726.6424876196816</v>
      </c>
      <c r="X134" s="177"/>
      <c r="Y134" s="177"/>
      <c r="Z134" s="15"/>
    </row>
    <row r="135" spans="1:26" x14ac:dyDescent="0.25">
      <c r="A135" s="108">
        <v>5631</v>
      </c>
      <c r="B135" s="116" t="s">
        <v>227</v>
      </c>
      <c r="C135" s="392">
        <v>608692.98276421544</v>
      </c>
      <c r="D135" s="392">
        <v>0</v>
      </c>
      <c r="E135" s="393">
        <v>21452.641960957262</v>
      </c>
      <c r="F135" s="389">
        <v>630145.62472517276</v>
      </c>
      <c r="G135" s="392">
        <v>0</v>
      </c>
      <c r="H135" s="392">
        <v>0</v>
      </c>
      <c r="I135" s="392">
        <v>0</v>
      </c>
      <c r="J135" s="394">
        <v>0</v>
      </c>
      <c r="K135" s="392">
        <v>340501.81393528375</v>
      </c>
      <c r="L135" s="392">
        <v>86560.959585524353</v>
      </c>
      <c r="M135" s="15">
        <v>427062.77352080808</v>
      </c>
      <c r="N135" s="389">
        <v>0</v>
      </c>
      <c r="P135" s="715">
        <v>1057208.398245981</v>
      </c>
      <c r="Q135" s="716"/>
      <c r="R135" s="716"/>
      <c r="S135" s="717"/>
      <c r="T135" s="389">
        <v>720102.3135543653</v>
      </c>
      <c r="U135" s="390">
        <v>109679.26703054151</v>
      </c>
      <c r="V135" s="395">
        <v>1886989.9788308877</v>
      </c>
      <c r="W135" s="408">
        <v>22790.724775405495</v>
      </c>
      <c r="X135" s="177"/>
      <c r="Y135" s="177"/>
      <c r="Z135" s="15"/>
    </row>
    <row r="136" spans="1:26" x14ac:dyDescent="0.25">
      <c r="A136" s="108">
        <v>5632</v>
      </c>
      <c r="B136" s="116" t="s">
        <v>228</v>
      </c>
      <c r="C136" s="392">
        <v>16007.071610374154</v>
      </c>
      <c r="D136" s="392">
        <v>0</v>
      </c>
      <c r="E136" s="393">
        <v>-86852.788327623799</v>
      </c>
      <c r="F136" s="389">
        <v>-70845.716717249641</v>
      </c>
      <c r="G136" s="392">
        <v>0</v>
      </c>
      <c r="H136" s="392">
        <v>0</v>
      </c>
      <c r="I136" s="392">
        <v>0</v>
      </c>
      <c r="J136" s="394">
        <v>0</v>
      </c>
      <c r="K136" s="392">
        <v>639415.97243140719</v>
      </c>
      <c r="L136" s="392">
        <v>-47806.206192399113</v>
      </c>
      <c r="M136" s="15">
        <v>591609.76623900805</v>
      </c>
      <c r="N136" s="389">
        <v>0</v>
      </c>
      <c r="P136" s="715">
        <v>520764.0495217584</v>
      </c>
      <c r="Q136" s="716"/>
      <c r="R136" s="716"/>
      <c r="S136" s="717"/>
      <c r="T136" s="389">
        <v>1767259.1819171149</v>
      </c>
      <c r="U136" s="390">
        <v>289731.6622725777</v>
      </c>
      <c r="V136" s="395">
        <v>2577754.893711451</v>
      </c>
      <c r="W136" s="408">
        <v>55932.493013495157</v>
      </c>
      <c r="X136" s="177"/>
      <c r="Y136" s="177"/>
      <c r="Z136" s="15"/>
    </row>
    <row r="137" spans="1:26" x14ac:dyDescent="0.25">
      <c r="A137" s="108">
        <v>5633</v>
      </c>
      <c r="B137" s="116" t="s">
        <v>229</v>
      </c>
      <c r="C137" s="392">
        <v>185179.9979953476</v>
      </c>
      <c r="D137" s="392">
        <v>0</v>
      </c>
      <c r="E137" s="393">
        <v>73000.528216153034</v>
      </c>
      <c r="F137" s="389">
        <v>258180.52621150063</v>
      </c>
      <c r="G137" s="392">
        <v>0</v>
      </c>
      <c r="H137" s="392">
        <v>0</v>
      </c>
      <c r="I137" s="392">
        <v>0</v>
      </c>
      <c r="J137" s="394">
        <v>0</v>
      </c>
      <c r="K137" s="392">
        <v>878861.53739558114</v>
      </c>
      <c r="L137" s="392">
        <v>-167781.58221849613</v>
      </c>
      <c r="M137" s="15">
        <v>711079.95517708501</v>
      </c>
      <c r="N137" s="389">
        <v>0</v>
      </c>
      <c r="P137" s="715">
        <v>969260.48138858564</v>
      </c>
      <c r="Q137" s="716"/>
      <c r="R137" s="716"/>
      <c r="S137" s="717"/>
      <c r="T137" s="389">
        <v>2824120.933211864</v>
      </c>
      <c r="U137" s="390">
        <v>477973.38826439856</v>
      </c>
      <c r="V137" s="395">
        <v>4271354.8028648477</v>
      </c>
      <c r="W137" s="408">
        <v>89381.41387659029</v>
      </c>
      <c r="X137" s="177"/>
      <c r="Y137" s="177"/>
      <c r="Z137" s="15"/>
    </row>
    <row r="138" spans="1:26" x14ac:dyDescent="0.25">
      <c r="A138" s="108">
        <v>5634</v>
      </c>
      <c r="B138" s="116" t="s">
        <v>230</v>
      </c>
      <c r="C138" s="392">
        <v>1415200.0181713868</v>
      </c>
      <c r="D138" s="392">
        <v>0</v>
      </c>
      <c r="E138" s="393">
        <v>181659.9708730526</v>
      </c>
      <c r="F138" s="389">
        <v>1596859.9890444395</v>
      </c>
      <c r="G138" s="392">
        <v>0</v>
      </c>
      <c r="H138" s="392">
        <v>0</v>
      </c>
      <c r="I138" s="392">
        <v>0</v>
      </c>
      <c r="J138" s="394">
        <v>0</v>
      </c>
      <c r="K138" s="392">
        <v>885571.37671535881</v>
      </c>
      <c r="L138" s="392">
        <v>89232.600056001276</v>
      </c>
      <c r="M138" s="15">
        <v>974803.97677136003</v>
      </c>
      <c r="N138" s="389">
        <v>0</v>
      </c>
      <c r="P138" s="715">
        <v>2571663.9658157993</v>
      </c>
      <c r="Q138" s="716"/>
      <c r="R138" s="716"/>
      <c r="S138" s="717"/>
      <c r="T138" s="389">
        <v>3087123.2606690512</v>
      </c>
      <c r="U138" s="390">
        <v>527084.02113736072</v>
      </c>
      <c r="V138" s="395">
        <v>6185871.2476222105</v>
      </c>
      <c r="W138" s="408">
        <v>97705.25001423838</v>
      </c>
      <c r="X138" s="177"/>
      <c r="Y138" s="177"/>
      <c r="Z138" s="15"/>
    </row>
    <row r="139" spans="1:26" x14ac:dyDescent="0.25">
      <c r="A139" s="108">
        <v>5635</v>
      </c>
      <c r="B139" s="116" t="s">
        <v>231</v>
      </c>
      <c r="C139" s="392">
        <v>-8080630.7223289926</v>
      </c>
      <c r="D139" s="392">
        <v>0</v>
      </c>
      <c r="E139" s="393">
        <v>234560.9052660428</v>
      </c>
      <c r="F139" s="389">
        <v>-7846069.8170629498</v>
      </c>
      <c r="G139" s="392">
        <v>0</v>
      </c>
      <c r="H139" s="392">
        <v>0</v>
      </c>
      <c r="I139" s="392">
        <v>0</v>
      </c>
      <c r="J139" s="394">
        <v>0</v>
      </c>
      <c r="K139" s="392">
        <v>-379506.71045691986</v>
      </c>
      <c r="L139" s="392">
        <v>-1375387.4449145794</v>
      </c>
      <c r="M139" s="15">
        <v>-1754894.1553714992</v>
      </c>
      <c r="N139" s="389">
        <v>0</v>
      </c>
      <c r="P139" s="715">
        <v>-9600963.9724344499</v>
      </c>
      <c r="Q139" s="716"/>
      <c r="R139" s="716"/>
      <c r="S139" s="717"/>
      <c r="T139" s="389">
        <v>12940490.901528176</v>
      </c>
      <c r="U139" s="390">
        <v>409557.31018228689</v>
      </c>
      <c r="V139" s="395">
        <v>3749084.2392760129</v>
      </c>
      <c r="W139" s="408">
        <v>409557.31018228689</v>
      </c>
      <c r="X139" s="177"/>
      <c r="Y139" s="177"/>
      <c r="Z139" s="15"/>
    </row>
    <row r="140" spans="1:26" x14ac:dyDescent="0.25">
      <c r="A140" s="108">
        <v>5636</v>
      </c>
      <c r="B140" s="116" t="s">
        <v>232</v>
      </c>
      <c r="C140" s="392">
        <v>4944281.1826815838</v>
      </c>
      <c r="D140" s="392">
        <v>0</v>
      </c>
      <c r="E140" s="393">
        <v>522767.73504851083</v>
      </c>
      <c r="F140" s="389">
        <v>5467048.9177300949</v>
      </c>
      <c r="G140" s="392">
        <v>0</v>
      </c>
      <c r="H140" s="392">
        <v>0</v>
      </c>
      <c r="I140" s="392">
        <v>0</v>
      </c>
      <c r="J140" s="394">
        <v>0</v>
      </c>
      <c r="K140" s="392">
        <v>881060.30291407683</v>
      </c>
      <c r="L140" s="392">
        <v>340644.20753333031</v>
      </c>
      <c r="M140" s="15">
        <v>1221704.5104474071</v>
      </c>
      <c r="N140" s="389">
        <v>0</v>
      </c>
      <c r="P140" s="715">
        <v>6688753.428177502</v>
      </c>
      <c r="Q140" s="716"/>
      <c r="R140" s="716"/>
      <c r="S140" s="717"/>
      <c r="T140" s="389">
        <v>2833825.8161438634</v>
      </c>
      <c r="U140" s="390">
        <v>479701.96242410305</v>
      </c>
      <c r="V140" s="395">
        <v>10002281.206745468</v>
      </c>
      <c r="W140" s="408">
        <v>89688.566501595749</v>
      </c>
      <c r="X140" s="177"/>
      <c r="Y140" s="177"/>
      <c r="Z140" s="15"/>
    </row>
    <row r="141" spans="1:26" x14ac:dyDescent="0.25">
      <c r="A141" s="108">
        <v>5637</v>
      </c>
      <c r="B141" s="116" t="s">
        <v>233</v>
      </c>
      <c r="C141" s="392">
        <v>-682445.28120805044</v>
      </c>
      <c r="D141" s="392">
        <v>0</v>
      </c>
      <c r="E141" s="393">
        <v>-16029.78123594739</v>
      </c>
      <c r="F141" s="389">
        <v>-698475.06244399783</v>
      </c>
      <c r="G141" s="392">
        <v>0</v>
      </c>
      <c r="H141" s="392">
        <v>0</v>
      </c>
      <c r="I141" s="392">
        <v>-11845</v>
      </c>
      <c r="J141" s="394">
        <v>-11845</v>
      </c>
      <c r="K141" s="392">
        <v>470330.90405909333</v>
      </c>
      <c r="L141" s="392">
        <v>122725.24189214503</v>
      </c>
      <c r="M141" s="15">
        <v>593056.14595123834</v>
      </c>
      <c r="N141" s="389">
        <v>-400</v>
      </c>
      <c r="P141" s="715">
        <v>-117663.91649275948</v>
      </c>
      <c r="Q141" s="716"/>
      <c r="R141" s="716"/>
      <c r="S141" s="717"/>
      <c r="T141" s="389">
        <v>1020953.6844463508</v>
      </c>
      <c r="U141" s="390">
        <v>156804.30939130104</v>
      </c>
      <c r="V141" s="395">
        <v>1060094.0773448923</v>
      </c>
      <c r="W141" s="408">
        <v>32312.456150574908</v>
      </c>
      <c r="X141" s="177"/>
      <c r="Y141" s="177"/>
      <c r="Z141" s="15"/>
    </row>
    <row r="142" spans="1:26" x14ac:dyDescent="0.25">
      <c r="A142" s="108">
        <v>5638</v>
      </c>
      <c r="B142" s="116" t="s">
        <v>234</v>
      </c>
      <c r="C142" s="392">
        <v>1820924.7625907233</v>
      </c>
      <c r="D142" s="392">
        <v>0</v>
      </c>
      <c r="E142" s="393">
        <v>2475322.2224539858</v>
      </c>
      <c r="F142" s="389">
        <v>4296246.9850447094</v>
      </c>
      <c r="G142" s="392">
        <v>0</v>
      </c>
      <c r="H142" s="392">
        <v>0</v>
      </c>
      <c r="I142" s="392">
        <v>0</v>
      </c>
      <c r="J142" s="394">
        <v>0</v>
      </c>
      <c r="K142" s="392">
        <v>831148.32564422593</v>
      </c>
      <c r="L142" s="392">
        <v>-264781.57983313059</v>
      </c>
      <c r="M142" s="15">
        <v>566366.74581109534</v>
      </c>
      <c r="N142" s="389">
        <v>0</v>
      </c>
      <c r="P142" s="715">
        <v>4862613.7308558049</v>
      </c>
      <c r="Q142" s="716"/>
      <c r="R142" s="716"/>
      <c r="S142" s="717"/>
      <c r="T142" s="389">
        <v>2613524.9735874739</v>
      </c>
      <c r="U142" s="390">
        <v>440463.32899881073</v>
      </c>
      <c r="V142" s="395">
        <v>7916602.0334420893</v>
      </c>
      <c r="W142" s="408">
        <v>82716.201913971701</v>
      </c>
      <c r="X142" s="177"/>
      <c r="Y142" s="177"/>
      <c r="Z142" s="15"/>
    </row>
    <row r="143" spans="1:26" x14ac:dyDescent="0.25">
      <c r="A143" s="108">
        <v>5639</v>
      </c>
      <c r="B143" s="116" t="s">
        <v>235</v>
      </c>
      <c r="C143" s="392">
        <v>541753.68403103296</v>
      </c>
      <c r="D143" s="392">
        <v>0</v>
      </c>
      <c r="E143" s="393">
        <v>104528.64663541428</v>
      </c>
      <c r="F143" s="389">
        <v>646282.33066644729</v>
      </c>
      <c r="G143" s="392">
        <v>0</v>
      </c>
      <c r="H143" s="392">
        <v>0</v>
      </c>
      <c r="I143" s="392">
        <v>-31004</v>
      </c>
      <c r="J143" s="394">
        <v>-31004</v>
      </c>
      <c r="K143" s="392">
        <v>382261.47036130913</v>
      </c>
      <c r="L143" s="392">
        <v>-163.4736728547432</v>
      </c>
      <c r="M143" s="15">
        <v>382097.99668845441</v>
      </c>
      <c r="N143" s="389">
        <v>0</v>
      </c>
      <c r="P143" s="715">
        <v>997376.3273549017</v>
      </c>
      <c r="Q143" s="716"/>
      <c r="R143" s="716"/>
      <c r="S143" s="717"/>
      <c r="T143" s="389">
        <v>808416.74823556107</v>
      </c>
      <c r="U143" s="390">
        <v>123130.49789277773</v>
      </c>
      <c r="V143" s="395">
        <v>1928923.5734832406</v>
      </c>
      <c r="W143" s="408">
        <v>25585.813662955228</v>
      </c>
      <c r="X143" s="177"/>
      <c r="Y143" s="177"/>
      <c r="Z143" s="15"/>
    </row>
    <row r="144" spans="1:26" x14ac:dyDescent="0.25">
      <c r="A144" s="108">
        <v>5640</v>
      </c>
      <c r="B144" s="116" t="s">
        <v>236</v>
      </c>
      <c r="C144" s="392">
        <v>957019.70687905245</v>
      </c>
      <c r="D144" s="392">
        <v>0</v>
      </c>
      <c r="E144" s="393">
        <v>-30666.774871400674</v>
      </c>
      <c r="F144" s="389">
        <v>926352.93200765178</v>
      </c>
      <c r="G144" s="392">
        <v>0</v>
      </c>
      <c r="H144" s="392">
        <v>0</v>
      </c>
      <c r="I144" s="392">
        <v>-73355</v>
      </c>
      <c r="J144" s="394">
        <v>-73355</v>
      </c>
      <c r="K144" s="392">
        <v>335912.84070165455</v>
      </c>
      <c r="L144" s="392">
        <v>-25376.430166302132</v>
      </c>
      <c r="M144" s="15">
        <v>310536.41053535242</v>
      </c>
      <c r="N144" s="389">
        <v>0</v>
      </c>
      <c r="P144" s="715">
        <v>1163534.3425430041</v>
      </c>
      <c r="Q144" s="716"/>
      <c r="R144" s="716"/>
      <c r="S144" s="717"/>
      <c r="T144" s="389">
        <v>710397.43062236579</v>
      </c>
      <c r="U144" s="390">
        <v>22483.572150400032</v>
      </c>
      <c r="V144" s="395">
        <v>1896415.34531577</v>
      </c>
      <c r="W144" s="408">
        <v>22483.572150400032</v>
      </c>
      <c r="X144" s="177"/>
      <c r="Y144" s="177"/>
      <c r="Z144" s="15"/>
    </row>
    <row r="145" spans="1:26" x14ac:dyDescent="0.25">
      <c r="A145" s="108">
        <v>5642</v>
      </c>
      <c r="B145" s="116" t="s">
        <v>67</v>
      </c>
      <c r="C145" s="392">
        <v>6211701.3411169443</v>
      </c>
      <c r="D145" s="392">
        <v>0</v>
      </c>
      <c r="E145" s="393">
        <v>1284233.1333514769</v>
      </c>
      <c r="F145" s="389">
        <v>7495934.4744684212</v>
      </c>
      <c r="G145" s="392">
        <v>0</v>
      </c>
      <c r="H145" s="392">
        <v>0</v>
      </c>
      <c r="I145" s="392">
        <v>0</v>
      </c>
      <c r="J145" s="394">
        <v>0</v>
      </c>
      <c r="K145" s="392">
        <v>-2606486.4806647208</v>
      </c>
      <c r="L145" s="392">
        <v>-571078.49563209619</v>
      </c>
      <c r="M145" s="15">
        <v>-3177564.976296817</v>
      </c>
      <c r="N145" s="389">
        <v>0</v>
      </c>
      <c r="P145" s="715">
        <v>4318369.4981716042</v>
      </c>
      <c r="Q145" s="716"/>
      <c r="R145" s="716"/>
      <c r="S145" s="717"/>
      <c r="T145" s="389">
        <v>17231019.64576517</v>
      </c>
      <c r="U145" s="390">
        <v>545349.48569720297</v>
      </c>
      <c r="V145" s="395">
        <v>22094738.629633978</v>
      </c>
      <c r="W145" s="408">
        <v>545349.48569720297</v>
      </c>
      <c r="X145" s="177"/>
      <c r="Y145" s="177"/>
      <c r="Z145" s="15"/>
    </row>
    <row r="146" spans="1:26" x14ac:dyDescent="0.25">
      <c r="A146" s="108">
        <v>5643</v>
      </c>
      <c r="B146" s="116" t="s">
        <v>237</v>
      </c>
      <c r="C146" s="392">
        <v>-384440.91752487491</v>
      </c>
      <c r="D146" s="392">
        <v>0</v>
      </c>
      <c r="E146" s="393">
        <v>-276961.58895946143</v>
      </c>
      <c r="F146" s="389">
        <v>-661402.50648433634</v>
      </c>
      <c r="G146" s="392">
        <v>0</v>
      </c>
      <c r="H146" s="392">
        <v>0</v>
      </c>
      <c r="I146" s="392">
        <v>0</v>
      </c>
      <c r="J146" s="394">
        <v>0</v>
      </c>
      <c r="K146" s="392">
        <v>738016.56562183937</v>
      </c>
      <c r="L146" s="392">
        <v>46530.227378967218</v>
      </c>
      <c r="M146" s="15">
        <v>784546.79300080659</v>
      </c>
      <c r="N146" s="389">
        <v>0</v>
      </c>
      <c r="P146" s="715">
        <v>123144.28651647025</v>
      </c>
      <c r="Q146" s="716"/>
      <c r="R146" s="716"/>
      <c r="S146" s="717"/>
      <c r="T146" s="389">
        <v>5068860.3553833552</v>
      </c>
      <c r="U146" s="390">
        <v>160425.81604035432</v>
      </c>
      <c r="V146" s="395">
        <v>5352430.4579401799</v>
      </c>
      <c r="W146" s="408">
        <v>160425.81604035432</v>
      </c>
      <c r="X146" s="177"/>
      <c r="Y146" s="177"/>
      <c r="Z146" s="15"/>
    </row>
    <row r="147" spans="1:26" x14ac:dyDescent="0.25">
      <c r="A147" s="108">
        <v>5645</v>
      </c>
      <c r="B147" s="116" t="s">
        <v>238</v>
      </c>
      <c r="C147" s="392">
        <v>216296.27532262701</v>
      </c>
      <c r="D147" s="392">
        <v>0</v>
      </c>
      <c r="E147" s="393">
        <v>-23181.009345064362</v>
      </c>
      <c r="F147" s="389">
        <v>193115.26597756264</v>
      </c>
      <c r="G147" s="392">
        <v>0</v>
      </c>
      <c r="H147" s="392">
        <v>0</v>
      </c>
      <c r="I147" s="392">
        <v>0</v>
      </c>
      <c r="J147" s="394">
        <v>0</v>
      </c>
      <c r="K147" s="392">
        <v>212010.56339366722</v>
      </c>
      <c r="L147" s="392">
        <v>53896.446534383082</v>
      </c>
      <c r="M147" s="15">
        <v>265907.00992805033</v>
      </c>
      <c r="N147" s="389">
        <v>0</v>
      </c>
      <c r="P147" s="715">
        <v>459022.27590561297</v>
      </c>
      <c r="Q147" s="716"/>
      <c r="R147" s="716"/>
      <c r="S147" s="717"/>
      <c r="T147" s="389">
        <v>448365.59145837836</v>
      </c>
      <c r="U147" s="390">
        <v>68290.86437750698</v>
      </c>
      <c r="V147" s="395">
        <v>975678.73174149834</v>
      </c>
      <c r="W147" s="408">
        <v>14190.451275252479</v>
      </c>
      <c r="X147" s="177"/>
      <c r="Y147" s="177"/>
      <c r="Z147" s="15"/>
    </row>
    <row r="148" spans="1:26" x14ac:dyDescent="0.25">
      <c r="A148" s="108">
        <v>5646</v>
      </c>
      <c r="B148" s="116" t="s">
        <v>239</v>
      </c>
      <c r="C148" s="392">
        <v>12624800.794078052</v>
      </c>
      <c r="D148" s="392">
        <v>0</v>
      </c>
      <c r="E148" s="393">
        <v>157300.35337382019</v>
      </c>
      <c r="F148" s="389">
        <v>12782101.147451872</v>
      </c>
      <c r="G148" s="392">
        <v>0</v>
      </c>
      <c r="H148" s="392">
        <v>0</v>
      </c>
      <c r="I148" s="392">
        <v>0</v>
      </c>
      <c r="J148" s="394">
        <v>0</v>
      </c>
      <c r="K148" s="392">
        <v>688590.76210177736</v>
      </c>
      <c r="L148" s="392">
        <v>689104.56640389794</v>
      </c>
      <c r="M148" s="15">
        <v>1377695.3285056753</v>
      </c>
      <c r="N148" s="389">
        <v>0</v>
      </c>
      <c r="P148" s="715">
        <v>14159796.475957546</v>
      </c>
      <c r="Q148" s="716"/>
      <c r="R148" s="716"/>
      <c r="S148" s="717"/>
      <c r="T148" s="389">
        <v>5732674.3479321236</v>
      </c>
      <c r="U148" s="390">
        <v>181435.05559072812</v>
      </c>
      <c r="V148" s="395">
        <v>20073905.879480395</v>
      </c>
      <c r="W148" s="408">
        <v>181435.05559072812</v>
      </c>
      <c r="X148" s="177"/>
      <c r="Y148" s="177"/>
      <c r="Z148" s="15"/>
    </row>
    <row r="149" spans="1:26" x14ac:dyDescent="0.25">
      <c r="A149" s="108">
        <v>5648</v>
      </c>
      <c r="B149" s="116" t="s">
        <v>240</v>
      </c>
      <c r="C149" s="392">
        <v>7444104.2995867971</v>
      </c>
      <c r="D149" s="392">
        <v>0</v>
      </c>
      <c r="E149" s="393">
        <v>865972.65046549647</v>
      </c>
      <c r="F149" s="389">
        <v>8310076.9500522939</v>
      </c>
      <c r="G149" s="392">
        <v>0</v>
      </c>
      <c r="H149" s="392">
        <v>0</v>
      </c>
      <c r="I149" s="392">
        <v>0</v>
      </c>
      <c r="J149" s="394">
        <v>0</v>
      </c>
      <c r="K149" s="392">
        <v>744158.66108851414</v>
      </c>
      <c r="L149" s="392">
        <v>-800868.41951155756</v>
      </c>
      <c r="M149" s="15">
        <v>-56709.758423043415</v>
      </c>
      <c r="N149" s="389">
        <v>0</v>
      </c>
      <c r="P149" s="715">
        <v>8253367.1916292505</v>
      </c>
      <c r="Q149" s="716"/>
      <c r="R149" s="716"/>
      <c r="S149" s="717"/>
      <c r="T149" s="389">
        <v>4986368.8504613591</v>
      </c>
      <c r="U149" s="390">
        <v>157815.01872780788</v>
      </c>
      <c r="V149" s="395">
        <v>13397551.060818417</v>
      </c>
      <c r="W149" s="408">
        <v>157815.01872780788</v>
      </c>
      <c r="X149" s="177"/>
      <c r="Y149" s="177"/>
      <c r="Z149" s="15"/>
    </row>
    <row r="150" spans="1:26" x14ac:dyDescent="0.25">
      <c r="A150" s="108">
        <v>5649</v>
      </c>
      <c r="B150" s="116" t="s">
        <v>241</v>
      </c>
      <c r="C150" s="392">
        <v>10184310.842902156</v>
      </c>
      <c r="D150" s="392">
        <v>0</v>
      </c>
      <c r="E150" s="393">
        <v>496882.17317919119</v>
      </c>
      <c r="F150" s="389">
        <v>10681193.016081346</v>
      </c>
      <c r="G150" s="392">
        <v>0</v>
      </c>
      <c r="H150" s="392">
        <v>0</v>
      </c>
      <c r="I150" s="392">
        <v>0</v>
      </c>
      <c r="J150" s="394">
        <v>0</v>
      </c>
      <c r="K150" s="392">
        <v>661623.50416821311</v>
      </c>
      <c r="L150" s="392">
        <v>-176400.84969895173</v>
      </c>
      <c r="M150" s="15">
        <v>485222.65446926141</v>
      </c>
      <c r="N150" s="389">
        <v>0</v>
      </c>
      <c r="P150" s="715">
        <v>11166415.670550607</v>
      </c>
      <c r="Q150" s="716"/>
      <c r="R150" s="716"/>
      <c r="S150" s="717"/>
      <c r="T150" s="389">
        <v>1865278.49953031</v>
      </c>
      <c r="U150" s="390">
        <v>59034.734526050357</v>
      </c>
      <c r="V150" s="395">
        <v>13090728.904606968</v>
      </c>
      <c r="W150" s="408">
        <v>59034.734526050357</v>
      </c>
      <c r="X150" s="177"/>
      <c r="Y150" s="177"/>
      <c r="Z150" s="15"/>
    </row>
    <row r="151" spans="1:26" x14ac:dyDescent="0.25">
      <c r="A151" s="108">
        <v>5650</v>
      </c>
      <c r="B151" s="116" t="s">
        <v>242</v>
      </c>
      <c r="C151" s="392">
        <v>4715595.0520086214</v>
      </c>
      <c r="D151" s="392">
        <v>0</v>
      </c>
      <c r="E151" s="393">
        <v>-31647.237017557538</v>
      </c>
      <c r="F151" s="389">
        <v>4683947.8149910634</v>
      </c>
      <c r="G151" s="392">
        <v>-7312</v>
      </c>
      <c r="H151" s="392">
        <v>0</v>
      </c>
      <c r="I151" s="392">
        <v>0</v>
      </c>
      <c r="J151" s="394">
        <v>-7312</v>
      </c>
      <c r="K151" s="392">
        <v>82601.518205324901</v>
      </c>
      <c r="L151" s="392">
        <v>20998.615532876527</v>
      </c>
      <c r="M151" s="15">
        <v>103600.13373820143</v>
      </c>
      <c r="N151" s="389">
        <v>-172200</v>
      </c>
      <c r="P151" s="715">
        <v>4608035.9487292645</v>
      </c>
      <c r="Q151" s="716"/>
      <c r="R151" s="716"/>
      <c r="S151" s="717"/>
      <c r="T151" s="389">
        <v>174687.89277599158</v>
      </c>
      <c r="U151" s="390">
        <v>26606.830276950768</v>
      </c>
      <c r="V151" s="395">
        <v>4809330.6717822077</v>
      </c>
      <c r="W151" s="408">
        <v>5528.7472500983686</v>
      </c>
      <c r="X151" s="177"/>
      <c r="Y151" s="177"/>
      <c r="Z151" s="15"/>
    </row>
    <row r="152" spans="1:26" x14ac:dyDescent="0.25">
      <c r="A152" s="108">
        <v>5651</v>
      </c>
      <c r="B152" s="116" t="s">
        <v>243</v>
      </c>
      <c r="C152" s="392">
        <v>699576.1360307727</v>
      </c>
      <c r="D152" s="392">
        <v>0</v>
      </c>
      <c r="E152" s="393">
        <v>-11280.047428924387</v>
      </c>
      <c r="F152" s="389">
        <v>688296.08860184834</v>
      </c>
      <c r="G152" s="392">
        <v>0</v>
      </c>
      <c r="H152" s="392">
        <v>0</v>
      </c>
      <c r="I152" s="392">
        <v>0</v>
      </c>
      <c r="J152" s="394">
        <v>0</v>
      </c>
      <c r="K152" s="392">
        <v>449719.37689565774</v>
      </c>
      <c r="L152" s="392">
        <v>-295674.26832100551</v>
      </c>
      <c r="M152" s="15">
        <v>154045.10857465223</v>
      </c>
      <c r="N152" s="389">
        <v>0</v>
      </c>
      <c r="P152" s="715">
        <v>842341.19717650057</v>
      </c>
      <c r="Q152" s="716"/>
      <c r="R152" s="716"/>
      <c r="S152" s="717"/>
      <c r="T152" s="389">
        <v>951078.52733595413</v>
      </c>
      <c r="U152" s="390">
        <v>30100.957250535561</v>
      </c>
      <c r="V152" s="395">
        <v>1823520.6817629901</v>
      </c>
      <c r="W152" s="408">
        <v>30100.957250535561</v>
      </c>
      <c r="X152" s="177"/>
      <c r="Y152" s="177"/>
      <c r="Z152" s="15"/>
    </row>
    <row r="153" spans="1:26" x14ac:dyDescent="0.25">
      <c r="A153" s="108">
        <v>5652</v>
      </c>
      <c r="B153" s="116" t="s">
        <v>244</v>
      </c>
      <c r="C153" s="392">
        <v>-31019.452414410276</v>
      </c>
      <c r="D153" s="392">
        <v>0</v>
      </c>
      <c r="E153" s="393">
        <v>229819.89859059697</v>
      </c>
      <c r="F153" s="389">
        <v>198800.4461761867</v>
      </c>
      <c r="G153" s="392">
        <v>0</v>
      </c>
      <c r="H153" s="392">
        <v>0</v>
      </c>
      <c r="I153" s="392">
        <v>0</v>
      </c>
      <c r="J153" s="394">
        <v>0</v>
      </c>
      <c r="K153" s="392">
        <v>279468.46992801584</v>
      </c>
      <c r="L153" s="392">
        <v>71045.315886232245</v>
      </c>
      <c r="M153" s="15">
        <v>350513.78581424808</v>
      </c>
      <c r="N153" s="389">
        <v>0</v>
      </c>
      <c r="P153" s="715">
        <v>549314.23199043481</v>
      </c>
      <c r="Q153" s="716"/>
      <c r="R153" s="716"/>
      <c r="S153" s="717"/>
      <c r="T153" s="389">
        <v>591027.37055877154</v>
      </c>
      <c r="U153" s="390">
        <v>90019.775770350097</v>
      </c>
      <c r="V153" s="395">
        <v>1230361.3783195566</v>
      </c>
      <c r="W153" s="408">
        <v>18705.594862832811</v>
      </c>
      <c r="X153" s="177"/>
      <c r="Y153" s="177"/>
      <c r="Z153" s="15"/>
    </row>
    <row r="154" spans="1:26" x14ac:dyDescent="0.25">
      <c r="A154" s="108">
        <v>5653</v>
      </c>
      <c r="B154" s="116" t="s">
        <v>245</v>
      </c>
      <c r="C154" s="392">
        <v>1272637.9175685619</v>
      </c>
      <c r="D154" s="392">
        <v>0</v>
      </c>
      <c r="E154" s="393">
        <v>-104406.49738603194</v>
      </c>
      <c r="F154" s="389">
        <v>1168231.4201825298</v>
      </c>
      <c r="G154" s="392">
        <v>0</v>
      </c>
      <c r="H154" s="392">
        <v>0</v>
      </c>
      <c r="I154" s="392">
        <v>0</v>
      </c>
      <c r="J154" s="394">
        <v>0</v>
      </c>
      <c r="K154" s="392">
        <v>404747.43920609198</v>
      </c>
      <c r="L154" s="392">
        <v>102893.21611109498</v>
      </c>
      <c r="M154" s="15">
        <v>507640.65531718696</v>
      </c>
      <c r="N154" s="389">
        <v>0</v>
      </c>
      <c r="P154" s="715">
        <v>1675872.0754997167</v>
      </c>
      <c r="Q154" s="716"/>
      <c r="R154" s="716"/>
      <c r="S154" s="717"/>
      <c r="T154" s="389">
        <v>855970.67460235872</v>
      </c>
      <c r="U154" s="390">
        <v>130373.46835705877</v>
      </c>
      <c r="V154" s="395">
        <v>2662216.218459134</v>
      </c>
      <c r="W154" s="408">
        <v>27090.861525482003</v>
      </c>
      <c r="X154" s="177"/>
      <c r="Y154" s="177"/>
      <c r="Z154" s="15"/>
    </row>
    <row r="155" spans="1:26" x14ac:dyDescent="0.25">
      <c r="A155" s="108">
        <v>5654</v>
      </c>
      <c r="B155" s="116" t="s">
        <v>246</v>
      </c>
      <c r="C155" s="392">
        <v>-303992.65727073583</v>
      </c>
      <c r="D155" s="392">
        <v>0</v>
      </c>
      <c r="E155" s="393">
        <v>-61980.667372363081</v>
      </c>
      <c r="F155" s="389">
        <v>-365973.32464309892</v>
      </c>
      <c r="G155" s="392">
        <v>-24770</v>
      </c>
      <c r="H155" s="392">
        <v>0</v>
      </c>
      <c r="I155" s="392">
        <v>-18645</v>
      </c>
      <c r="J155" s="394">
        <v>-43415</v>
      </c>
      <c r="K155" s="392">
        <v>262030.37164022506</v>
      </c>
      <c r="L155" s="392">
        <v>66612.274829291651</v>
      </c>
      <c r="M155" s="15">
        <v>328642.64646951668</v>
      </c>
      <c r="N155" s="389">
        <v>0</v>
      </c>
      <c r="P155" s="715">
        <v>-80745.678173582244</v>
      </c>
      <c r="Q155" s="716"/>
      <c r="R155" s="716"/>
      <c r="S155" s="717"/>
      <c r="T155" s="389">
        <v>554148.81541717332</v>
      </c>
      <c r="U155" s="390">
        <v>84402.778267438276</v>
      </c>
      <c r="V155" s="395">
        <v>557805.91551102931</v>
      </c>
      <c r="W155" s="408">
        <v>17538.414887812047</v>
      </c>
      <c r="X155" s="177"/>
      <c r="Y155" s="177"/>
      <c r="Z155" s="15"/>
    </row>
    <row r="156" spans="1:26" x14ac:dyDescent="0.25">
      <c r="A156" s="108">
        <v>5655</v>
      </c>
      <c r="B156" s="116" t="s">
        <v>247</v>
      </c>
      <c r="C156" s="392">
        <v>558417.82447254169</v>
      </c>
      <c r="D156" s="392">
        <v>0</v>
      </c>
      <c r="E156" s="393">
        <v>-56130.089230133919</v>
      </c>
      <c r="F156" s="389">
        <v>502287.73524240777</v>
      </c>
      <c r="G156" s="392">
        <v>0</v>
      </c>
      <c r="H156" s="392">
        <v>0</v>
      </c>
      <c r="I156" s="392">
        <v>-31094</v>
      </c>
      <c r="J156" s="394">
        <v>-31094</v>
      </c>
      <c r="K156" s="392">
        <v>569934.98204694537</v>
      </c>
      <c r="L156" s="392">
        <v>175571.7576498843</v>
      </c>
      <c r="M156" s="15">
        <v>745506.7396968297</v>
      </c>
      <c r="N156" s="389">
        <v>0</v>
      </c>
      <c r="P156" s="715">
        <v>1216700.4749392373</v>
      </c>
      <c r="Q156" s="716"/>
      <c r="R156" s="716"/>
      <c r="S156" s="717"/>
      <c r="T156" s="389">
        <v>1460584.8812659297</v>
      </c>
      <c r="U156" s="390">
        <v>235108.71882591525</v>
      </c>
      <c r="V156" s="395">
        <v>2912394.0750310826</v>
      </c>
      <c r="W156" s="408">
        <v>46226.470063322471</v>
      </c>
      <c r="X156" s="177"/>
      <c r="Y156" s="177"/>
      <c r="Z156" s="15"/>
    </row>
    <row r="157" spans="1:26" x14ac:dyDescent="0.25">
      <c r="A157" s="108">
        <v>5656</v>
      </c>
      <c r="B157" s="116" t="s">
        <v>248</v>
      </c>
      <c r="C157" s="392">
        <v>-2303021.8313776799</v>
      </c>
      <c r="D157" s="392">
        <v>0</v>
      </c>
      <c r="E157" s="393">
        <v>-387377.36020695773</v>
      </c>
      <c r="F157" s="389">
        <v>-2690399.1915846379</v>
      </c>
      <c r="G157" s="392">
        <v>0</v>
      </c>
      <c r="H157" s="392">
        <v>0</v>
      </c>
      <c r="I157" s="392">
        <v>0</v>
      </c>
      <c r="J157" s="394">
        <v>0</v>
      </c>
      <c r="K157" s="392">
        <v>801605.31868858659</v>
      </c>
      <c r="L157" s="392">
        <v>506649.92921823752</v>
      </c>
      <c r="M157" s="15">
        <v>1308255.2479068241</v>
      </c>
      <c r="N157" s="389">
        <v>-157000</v>
      </c>
      <c r="P157" s="715">
        <v>-1539143.9436778137</v>
      </c>
      <c r="Q157" s="716"/>
      <c r="R157" s="716"/>
      <c r="S157" s="717"/>
      <c r="T157" s="389">
        <v>4214830.6573673971</v>
      </c>
      <c r="U157" s="390">
        <v>742493.56166880974</v>
      </c>
      <c r="V157" s="395">
        <v>3418180.2753583929</v>
      </c>
      <c r="W157" s="408">
        <v>133396.38503987342</v>
      </c>
      <c r="X157" s="177"/>
      <c r="Y157" s="177"/>
      <c r="Z157" s="15"/>
    </row>
    <row r="158" spans="1:26" x14ac:dyDescent="0.25">
      <c r="A158" s="108">
        <v>5661</v>
      </c>
      <c r="B158" s="116" t="s">
        <v>249</v>
      </c>
      <c r="C158" s="392">
        <v>-452019.09309333534</v>
      </c>
      <c r="D158" s="392">
        <v>0</v>
      </c>
      <c r="E158" s="393">
        <v>-28642.848553635049</v>
      </c>
      <c r="F158" s="389">
        <v>-480661.9416469704</v>
      </c>
      <c r="G158" s="392">
        <v>-4648</v>
      </c>
      <c r="H158" s="392">
        <v>0</v>
      </c>
      <c r="I158" s="392">
        <v>-31246</v>
      </c>
      <c r="J158" s="394">
        <v>-35894</v>
      </c>
      <c r="K158" s="392">
        <v>173922.08555454519</v>
      </c>
      <c r="L158" s="392">
        <v>44213.751594223351</v>
      </c>
      <c r="M158" s="15">
        <v>218135.83714876854</v>
      </c>
      <c r="N158" s="389">
        <v>0</v>
      </c>
      <c r="P158" s="715">
        <v>-298420.10449820186</v>
      </c>
      <c r="Q158" s="716"/>
      <c r="R158" s="716"/>
      <c r="S158" s="717"/>
      <c r="T158" s="389">
        <v>367815.06312278227</v>
      </c>
      <c r="U158" s="390">
        <v>56022.159305357447</v>
      </c>
      <c r="V158" s="395">
        <v>125417.11792993786</v>
      </c>
      <c r="W158" s="408">
        <v>11641.084487707119</v>
      </c>
      <c r="X158" s="177"/>
      <c r="Y158" s="177"/>
      <c r="Z158" s="15"/>
    </row>
    <row r="159" spans="1:26" x14ac:dyDescent="0.25">
      <c r="A159" s="108">
        <v>5663</v>
      </c>
      <c r="B159" s="116" t="s">
        <v>250</v>
      </c>
      <c r="C159" s="392">
        <v>-271963.31597000652</v>
      </c>
      <c r="D159" s="392">
        <v>0</v>
      </c>
      <c r="E159" s="393">
        <v>-28270.211007816353</v>
      </c>
      <c r="F159" s="389">
        <v>-300233.52697782288</v>
      </c>
      <c r="G159" s="392">
        <v>-12338</v>
      </c>
      <c r="H159" s="392">
        <v>0</v>
      </c>
      <c r="I159" s="392">
        <v>-7068</v>
      </c>
      <c r="J159" s="394">
        <v>-19406</v>
      </c>
      <c r="K159" s="392">
        <v>115183.22816409194</v>
      </c>
      <c r="L159" s="392">
        <v>29281.402770844488</v>
      </c>
      <c r="M159" s="15">
        <v>144464.63093493643</v>
      </c>
      <c r="N159" s="389">
        <v>-18300</v>
      </c>
      <c r="P159" s="715">
        <v>-193474.89604288645</v>
      </c>
      <c r="Q159" s="716"/>
      <c r="R159" s="716"/>
      <c r="S159" s="717"/>
      <c r="T159" s="389">
        <v>243592.56159318826</v>
      </c>
      <c r="U159" s="390">
        <v>37101.74666397024</v>
      </c>
      <c r="V159" s="395">
        <v>87219.412214272044</v>
      </c>
      <c r="W159" s="408">
        <v>7709.5308876371691</v>
      </c>
      <c r="X159" s="177"/>
      <c r="Y159" s="177"/>
      <c r="Z159" s="15"/>
    </row>
    <row r="160" spans="1:26" x14ac:dyDescent="0.25">
      <c r="A160" s="108">
        <v>5665</v>
      </c>
      <c r="B160" s="116" t="s">
        <v>251</v>
      </c>
      <c r="C160" s="392">
        <v>-305925.50965221412</v>
      </c>
      <c r="D160" s="392">
        <v>0</v>
      </c>
      <c r="E160" s="393">
        <v>-45189.122389881639</v>
      </c>
      <c r="F160" s="389">
        <v>-351114.63204209576</v>
      </c>
      <c r="G160" s="392">
        <v>-34667</v>
      </c>
      <c r="H160" s="392">
        <v>-947</v>
      </c>
      <c r="I160" s="392">
        <v>0</v>
      </c>
      <c r="J160" s="394">
        <v>-35614</v>
      </c>
      <c r="K160" s="392">
        <v>109217.56296037404</v>
      </c>
      <c r="L160" s="392">
        <v>27764.836093470072</v>
      </c>
      <c r="M160" s="15">
        <v>136982.3990538441</v>
      </c>
      <c r="N160" s="389">
        <v>0</v>
      </c>
      <c r="P160" s="715">
        <v>-249746.23298825166</v>
      </c>
      <c r="Q160" s="716"/>
      <c r="R160" s="716"/>
      <c r="S160" s="717"/>
      <c r="T160" s="389">
        <v>230976.21378158886</v>
      </c>
      <c r="U160" s="390">
        <v>35180.14225507935</v>
      </c>
      <c r="V160" s="395">
        <v>16410.123048416543</v>
      </c>
      <c r="W160" s="408">
        <v>7310.2324751300648</v>
      </c>
      <c r="X160" s="177"/>
      <c r="Y160" s="177"/>
      <c r="Z160" s="15"/>
    </row>
    <row r="161" spans="1:26" x14ac:dyDescent="0.25">
      <c r="A161" s="108">
        <v>5669</v>
      </c>
      <c r="B161" s="116" t="s">
        <v>252</v>
      </c>
      <c r="C161" s="392">
        <v>-301517.40089121176</v>
      </c>
      <c r="D161" s="392">
        <v>0</v>
      </c>
      <c r="E161" s="393">
        <v>14089.561803095348</v>
      </c>
      <c r="F161" s="389">
        <v>-287427.83908811642</v>
      </c>
      <c r="G161" s="392">
        <v>-26650</v>
      </c>
      <c r="H161" s="392">
        <v>0</v>
      </c>
      <c r="I161" s="392">
        <v>0</v>
      </c>
      <c r="J161" s="394">
        <v>-26650</v>
      </c>
      <c r="K161" s="392">
        <v>142258.17024250398</v>
      </c>
      <c r="L161" s="392">
        <v>36164.282306620684</v>
      </c>
      <c r="M161" s="15">
        <v>178422.45254912466</v>
      </c>
      <c r="N161" s="389">
        <v>0</v>
      </c>
      <c r="P161" s="715">
        <v>-135655.38653899176</v>
      </c>
      <c r="Q161" s="716"/>
      <c r="R161" s="716"/>
      <c r="S161" s="717"/>
      <c r="T161" s="389">
        <v>300851.37089198548</v>
      </c>
      <c r="U161" s="390">
        <v>45822.874365859658</v>
      </c>
      <c r="V161" s="395">
        <v>211018.85871885339</v>
      </c>
      <c r="W161" s="408">
        <v>9521.7313751694128</v>
      </c>
      <c r="X161" s="177"/>
      <c r="Y161" s="177"/>
      <c r="Z161" s="15"/>
    </row>
    <row r="162" spans="1:26" x14ac:dyDescent="0.25">
      <c r="A162" s="108">
        <v>5671</v>
      </c>
      <c r="B162" s="116" t="s">
        <v>253</v>
      </c>
      <c r="C162" s="392">
        <v>-259052.65616186926</v>
      </c>
      <c r="D162" s="392">
        <v>0</v>
      </c>
      <c r="E162" s="393">
        <v>-29679.999641344766</v>
      </c>
      <c r="F162" s="389">
        <v>-288732.65580321406</v>
      </c>
      <c r="G162" s="392">
        <v>-13446</v>
      </c>
      <c r="H162" s="392">
        <v>-68</v>
      </c>
      <c r="I162" s="392">
        <v>0</v>
      </c>
      <c r="J162" s="394">
        <v>-13514</v>
      </c>
      <c r="K162" s="392">
        <v>116101.02281081778</v>
      </c>
      <c r="L162" s="392">
        <v>29514.720721209786</v>
      </c>
      <c r="M162" s="15">
        <v>145615.74353202758</v>
      </c>
      <c r="N162" s="389">
        <v>-25700</v>
      </c>
      <c r="P162" s="715">
        <v>-182330.91227118648</v>
      </c>
      <c r="Q162" s="716"/>
      <c r="R162" s="716"/>
      <c r="S162" s="717"/>
      <c r="T162" s="389">
        <v>245533.53817958815</v>
      </c>
      <c r="U162" s="390">
        <v>37397.378111491918</v>
      </c>
      <c r="V162" s="395">
        <v>100600.00401989359</v>
      </c>
      <c r="W162" s="408">
        <v>7770.9614126382621</v>
      </c>
      <c r="X162" s="177"/>
      <c r="Y162" s="177"/>
      <c r="Z162" s="15"/>
    </row>
    <row r="163" spans="1:26" x14ac:dyDescent="0.25">
      <c r="A163" s="108">
        <v>5673</v>
      </c>
      <c r="B163" s="116" t="s">
        <v>254</v>
      </c>
      <c r="C163" s="392">
        <v>-393258.59878787503</v>
      </c>
      <c r="D163" s="392">
        <v>0</v>
      </c>
      <c r="E163" s="393">
        <v>-46464.914920106632</v>
      </c>
      <c r="F163" s="389">
        <v>-439723.51370798168</v>
      </c>
      <c r="G163" s="392">
        <v>-19368</v>
      </c>
      <c r="H163" s="392">
        <v>-4922</v>
      </c>
      <c r="I163" s="392">
        <v>0</v>
      </c>
      <c r="J163" s="394">
        <v>-24290</v>
      </c>
      <c r="K163" s="392">
        <v>173004.29090781938</v>
      </c>
      <c r="L163" s="392">
        <v>43980.433643858058</v>
      </c>
      <c r="M163" s="15">
        <v>216984.72455167744</v>
      </c>
      <c r="N163" s="389">
        <v>-3700</v>
      </c>
      <c r="P163" s="715">
        <v>-250728.78915630424</v>
      </c>
      <c r="Q163" s="716"/>
      <c r="R163" s="716"/>
      <c r="S163" s="717"/>
      <c r="T163" s="389">
        <v>365874.08653638238</v>
      </c>
      <c r="U163" s="390">
        <v>55726.527857835776</v>
      </c>
      <c r="V163" s="395">
        <v>170871.82523791393</v>
      </c>
      <c r="W163" s="408">
        <v>11579.653962706027</v>
      </c>
      <c r="X163" s="177"/>
      <c r="Y163" s="177"/>
      <c r="Z163" s="15"/>
    </row>
    <row r="164" spans="1:26" x14ac:dyDescent="0.25">
      <c r="A164" s="108">
        <v>5674</v>
      </c>
      <c r="B164" s="116" t="s">
        <v>255</v>
      </c>
      <c r="C164" s="392">
        <v>-150230.85508073468</v>
      </c>
      <c r="D164" s="392">
        <v>0</v>
      </c>
      <c r="E164" s="393">
        <v>-26657.742980517618</v>
      </c>
      <c r="F164" s="389">
        <v>-176888.5980612523</v>
      </c>
      <c r="G164" s="392">
        <v>-25031</v>
      </c>
      <c r="H164" s="392">
        <v>-572</v>
      </c>
      <c r="I164" s="392">
        <v>0</v>
      </c>
      <c r="J164" s="394">
        <v>-25603</v>
      </c>
      <c r="K164" s="392">
        <v>65163.419917534076</v>
      </c>
      <c r="L164" s="392">
        <v>16565.574475935926</v>
      </c>
      <c r="M164" s="15">
        <v>81728.994393469999</v>
      </c>
      <c r="N164" s="389">
        <v>0</v>
      </c>
      <c r="P164" s="715">
        <v>-120762.6036677823</v>
      </c>
      <c r="Q164" s="716"/>
      <c r="R164" s="716"/>
      <c r="S164" s="717"/>
      <c r="T164" s="389">
        <v>137809.33763439336</v>
      </c>
      <c r="U164" s="390">
        <v>20989.83277403894</v>
      </c>
      <c r="V164" s="395">
        <v>38036.56674065</v>
      </c>
      <c r="W164" s="408">
        <v>4361.5672750776021</v>
      </c>
      <c r="X164" s="177"/>
      <c r="Y164" s="177"/>
      <c r="Z164" s="15"/>
    </row>
    <row r="165" spans="1:26" x14ac:dyDescent="0.25">
      <c r="A165" s="108">
        <v>5675</v>
      </c>
      <c r="B165" s="116" t="s">
        <v>256</v>
      </c>
      <c r="C165" s="392">
        <v>-6789569.4366875226</v>
      </c>
      <c r="D165" s="392">
        <v>-183754</v>
      </c>
      <c r="E165" s="393">
        <v>-486863.49029859516</v>
      </c>
      <c r="F165" s="389">
        <v>-7460186.9269861178</v>
      </c>
      <c r="G165" s="392">
        <v>0</v>
      </c>
      <c r="H165" s="392">
        <v>-13132</v>
      </c>
      <c r="I165" s="392">
        <v>-223559</v>
      </c>
      <c r="J165" s="394">
        <v>-236691</v>
      </c>
      <c r="K165" s="392">
        <v>783106.77234189631</v>
      </c>
      <c r="L165" s="392">
        <v>536514.62686499523</v>
      </c>
      <c r="M165" s="15">
        <v>1319621.3992068917</v>
      </c>
      <c r="N165" s="389">
        <v>0</v>
      </c>
      <c r="P165" s="715">
        <v>-6377256.5277792262</v>
      </c>
      <c r="Q165" s="716"/>
      <c r="R165" s="716"/>
      <c r="S165" s="717"/>
      <c r="T165" s="389">
        <v>4463275.660426585</v>
      </c>
      <c r="U165" s="390">
        <v>789950.39676007559</v>
      </c>
      <c r="V165" s="395">
        <v>-1124030.4705925656</v>
      </c>
      <c r="W165" s="408">
        <v>141259.49224001332</v>
      </c>
      <c r="X165" s="177"/>
      <c r="Y165" s="177"/>
      <c r="Z165" s="15"/>
    </row>
    <row r="166" spans="1:26" x14ac:dyDescent="0.25">
      <c r="A166" s="108">
        <v>5678</v>
      </c>
      <c r="B166" s="116" t="s">
        <v>257</v>
      </c>
      <c r="C166" s="392">
        <v>-9492977.3933130968</v>
      </c>
      <c r="D166" s="392">
        <v>-275083</v>
      </c>
      <c r="E166" s="393">
        <v>-562557.12187182973</v>
      </c>
      <c r="F166" s="389">
        <v>-10330617.515184926</v>
      </c>
      <c r="G166" s="392">
        <v>0</v>
      </c>
      <c r="H166" s="392">
        <v>-3739</v>
      </c>
      <c r="I166" s="392">
        <v>-435788</v>
      </c>
      <c r="J166" s="394">
        <v>-439527</v>
      </c>
      <c r="K166" s="392">
        <v>654773.10706173489</v>
      </c>
      <c r="L166" s="392">
        <v>743700.96678937692</v>
      </c>
      <c r="M166" s="15">
        <v>1398474.0738511118</v>
      </c>
      <c r="N166" s="389">
        <v>0</v>
      </c>
      <c r="P166" s="715">
        <v>-9371670.4413338136</v>
      </c>
      <c r="Q166" s="716"/>
      <c r="R166" s="716"/>
      <c r="S166" s="717"/>
      <c r="T166" s="389">
        <v>6186862.8691497017</v>
      </c>
      <c r="U166" s="390">
        <v>1136398.3535998417</v>
      </c>
      <c r="V166" s="395">
        <v>-2048409.2185842702</v>
      </c>
      <c r="W166" s="408">
        <v>195809.79844098387</v>
      </c>
      <c r="X166" s="177"/>
      <c r="Y166" s="177"/>
      <c r="Z166" s="15"/>
    </row>
    <row r="167" spans="1:26" x14ac:dyDescent="0.25">
      <c r="A167" s="108">
        <v>5680</v>
      </c>
      <c r="B167" s="116" t="s">
        <v>258</v>
      </c>
      <c r="C167" s="392">
        <v>-437467.78696240904</v>
      </c>
      <c r="D167" s="392">
        <v>-98</v>
      </c>
      <c r="E167" s="393">
        <v>-11208.513165717246</v>
      </c>
      <c r="F167" s="389">
        <v>-448774.30012812628</v>
      </c>
      <c r="G167" s="392">
        <v>-8139</v>
      </c>
      <c r="H167" s="392">
        <v>0</v>
      </c>
      <c r="I167" s="392">
        <v>-80663</v>
      </c>
      <c r="J167" s="394">
        <v>-88802</v>
      </c>
      <c r="K167" s="392">
        <v>152353.91135648816</v>
      </c>
      <c r="L167" s="392">
        <v>38730.779760638929</v>
      </c>
      <c r="M167" s="15">
        <v>191084.69111712708</v>
      </c>
      <c r="N167" s="389">
        <v>0</v>
      </c>
      <c r="P167" s="715">
        <v>-346491.60901099921</v>
      </c>
      <c r="Q167" s="716"/>
      <c r="R167" s="716"/>
      <c r="S167" s="717"/>
      <c r="T167" s="389">
        <v>322202.11334238446</v>
      </c>
      <c r="U167" s="390">
        <v>49074.820288598086</v>
      </c>
      <c r="V167" s="395">
        <v>24785.324619983337</v>
      </c>
      <c r="W167" s="408">
        <v>10197.467150181435</v>
      </c>
      <c r="X167" s="177"/>
      <c r="Y167" s="177"/>
      <c r="Z167" s="15"/>
    </row>
    <row r="168" spans="1:26" x14ac:dyDescent="0.25">
      <c r="A168" s="108">
        <v>5683</v>
      </c>
      <c r="B168" s="116" t="s">
        <v>259</v>
      </c>
      <c r="C168" s="392">
        <v>-271711.49519424338</v>
      </c>
      <c r="D168" s="392">
        <v>0</v>
      </c>
      <c r="E168" s="393">
        <v>-594.34058871113666</v>
      </c>
      <c r="F168" s="389">
        <v>-272305.83578295453</v>
      </c>
      <c r="G168" s="392">
        <v>-398</v>
      </c>
      <c r="H168" s="392">
        <v>-660</v>
      </c>
      <c r="I168" s="392">
        <v>-20114</v>
      </c>
      <c r="J168" s="394">
        <v>-21172</v>
      </c>
      <c r="K168" s="392">
        <v>103710.79508001903</v>
      </c>
      <c r="L168" s="392">
        <v>26364.928391278307</v>
      </c>
      <c r="M168" s="15">
        <v>130075.72347129733</v>
      </c>
      <c r="N168" s="389">
        <v>0</v>
      </c>
      <c r="P168" s="715">
        <v>-163402.1123116572</v>
      </c>
      <c r="Q168" s="716"/>
      <c r="R168" s="716"/>
      <c r="S168" s="717"/>
      <c r="T168" s="389">
        <v>219330.35426318942</v>
      </c>
      <c r="U168" s="390">
        <v>33406.3535699493</v>
      </c>
      <c r="V168" s="395">
        <v>89334.595521481533</v>
      </c>
      <c r="W168" s="408">
        <v>6941.649325123507</v>
      </c>
      <c r="X168" s="177"/>
      <c r="Y168" s="177"/>
      <c r="Z168" s="15"/>
    </row>
    <row r="169" spans="1:26" x14ac:dyDescent="0.25">
      <c r="A169" s="108">
        <v>5684</v>
      </c>
      <c r="B169" s="116" t="s">
        <v>260</v>
      </c>
      <c r="C169" s="392">
        <v>40564.04785481665</v>
      </c>
      <c r="D169" s="392">
        <v>0</v>
      </c>
      <c r="E169" s="393">
        <v>-16830.599875250355</v>
      </c>
      <c r="F169" s="389">
        <v>23733.447979566296</v>
      </c>
      <c r="G169" s="392">
        <v>-3929</v>
      </c>
      <c r="H169" s="392">
        <v>0</v>
      </c>
      <c r="I169" s="392">
        <v>0</v>
      </c>
      <c r="J169" s="394">
        <v>-3929</v>
      </c>
      <c r="K169" s="392">
        <v>40382.964455936613</v>
      </c>
      <c r="L169" s="392">
        <v>10265.989816072968</v>
      </c>
      <c r="M169" s="15">
        <v>50648.954272009578</v>
      </c>
      <c r="N169" s="389">
        <v>0</v>
      </c>
      <c r="P169" s="715">
        <v>70453.40225157587</v>
      </c>
      <c r="Q169" s="716"/>
      <c r="R169" s="716"/>
      <c r="S169" s="717"/>
      <c r="T169" s="389">
        <v>85402.969801595886</v>
      </c>
      <c r="U169" s="390">
        <v>13007.783690953711</v>
      </c>
      <c r="V169" s="395">
        <v>168864.15574412546</v>
      </c>
      <c r="W169" s="408">
        <v>2702.9431000480913</v>
      </c>
      <c r="X169" s="177"/>
      <c r="Y169" s="177"/>
      <c r="Z169" s="15"/>
    </row>
    <row r="170" spans="1:26" x14ac:dyDescent="0.25">
      <c r="A170" s="108">
        <v>5688</v>
      </c>
      <c r="B170" s="116" t="s">
        <v>261</v>
      </c>
      <c r="C170" s="392">
        <v>-155607.45575475201</v>
      </c>
      <c r="D170" s="392">
        <v>0</v>
      </c>
      <c r="E170" s="393">
        <v>-29735.881582858623</v>
      </c>
      <c r="F170" s="389">
        <v>-185343.33733761063</v>
      </c>
      <c r="G170" s="392">
        <v>-12834</v>
      </c>
      <c r="H170" s="392">
        <v>0</v>
      </c>
      <c r="I170" s="392">
        <v>-1238</v>
      </c>
      <c r="J170" s="394">
        <v>-14072</v>
      </c>
      <c r="K170" s="392">
        <v>76176.955678244078</v>
      </c>
      <c r="L170" s="392">
        <v>19365.389880319464</v>
      </c>
      <c r="M170" s="15">
        <v>95542.345558563538</v>
      </c>
      <c r="N170" s="389">
        <v>0</v>
      </c>
      <c r="P170" s="715">
        <v>-103872.99177904709</v>
      </c>
      <c r="Q170" s="716"/>
      <c r="R170" s="716"/>
      <c r="S170" s="717"/>
      <c r="T170" s="389">
        <v>161101.05667119223</v>
      </c>
      <c r="U170" s="390">
        <v>24537.410144299043</v>
      </c>
      <c r="V170" s="395">
        <v>81765.475036444172</v>
      </c>
      <c r="W170" s="408">
        <v>5098.7335750907177</v>
      </c>
      <c r="X170" s="177"/>
      <c r="Y170" s="177"/>
      <c r="Z170" s="15"/>
    </row>
    <row r="171" spans="1:26" x14ac:dyDescent="0.25">
      <c r="A171" s="108">
        <v>5690</v>
      </c>
      <c r="B171" s="116" t="s">
        <v>262</v>
      </c>
      <c r="C171" s="392">
        <v>-118941.73451044071</v>
      </c>
      <c r="D171" s="392">
        <v>0</v>
      </c>
      <c r="E171" s="393">
        <v>6126.9047368318425</v>
      </c>
      <c r="F171" s="389">
        <v>-112814.82977360887</v>
      </c>
      <c r="G171" s="392">
        <v>-33263</v>
      </c>
      <c r="H171" s="392">
        <v>-3190</v>
      </c>
      <c r="I171" s="392">
        <v>0</v>
      </c>
      <c r="J171" s="394">
        <v>-36453</v>
      </c>
      <c r="K171" s="392">
        <v>61951.138653993679</v>
      </c>
      <c r="L171" s="392">
        <v>15748.961649657394</v>
      </c>
      <c r="M171" s="15">
        <v>77700.100303651066</v>
      </c>
      <c r="N171" s="389">
        <v>0</v>
      </c>
      <c r="P171" s="715">
        <v>-71567.72946995782</v>
      </c>
      <c r="Q171" s="716"/>
      <c r="R171" s="716"/>
      <c r="S171" s="717"/>
      <c r="T171" s="389">
        <v>131015.91958199369</v>
      </c>
      <c r="U171" s="390">
        <v>19955.122707713079</v>
      </c>
      <c r="V171" s="395">
        <v>79403.312819748942</v>
      </c>
      <c r="W171" s="408">
        <v>4146.5604375737767</v>
      </c>
      <c r="X171" s="177"/>
      <c r="Y171" s="177"/>
      <c r="Z171" s="15"/>
    </row>
    <row r="172" spans="1:26" x14ac:dyDescent="0.25">
      <c r="A172" s="108">
        <v>5692</v>
      </c>
      <c r="B172" s="116" t="s">
        <v>263</v>
      </c>
      <c r="C172" s="392">
        <v>-663693.5121721793</v>
      </c>
      <c r="D172" s="392">
        <v>0</v>
      </c>
      <c r="E172" s="393">
        <v>-36501.533645272459</v>
      </c>
      <c r="F172" s="389">
        <v>-700195.04581745178</v>
      </c>
      <c r="G172" s="392">
        <v>0</v>
      </c>
      <c r="H172" s="392">
        <v>-10307</v>
      </c>
      <c r="I172" s="392">
        <v>-52192</v>
      </c>
      <c r="J172" s="394">
        <v>-62499</v>
      </c>
      <c r="K172" s="392">
        <v>291399.80033545167</v>
      </c>
      <c r="L172" s="392">
        <v>74078.449240981077</v>
      </c>
      <c r="M172" s="15">
        <v>365478.24957643275</v>
      </c>
      <c r="N172" s="389">
        <v>0</v>
      </c>
      <c r="P172" s="715">
        <v>-397215.79624101904</v>
      </c>
      <c r="Q172" s="716"/>
      <c r="R172" s="716"/>
      <c r="S172" s="717"/>
      <c r="T172" s="389">
        <v>616260.06618197029</v>
      </c>
      <c r="U172" s="390">
        <v>93862.984588131891</v>
      </c>
      <c r="V172" s="395">
        <v>312907.25452908315</v>
      </c>
      <c r="W172" s="408">
        <v>19504.191687847022</v>
      </c>
      <c r="X172" s="177"/>
      <c r="Y172" s="177"/>
      <c r="Z172" s="15"/>
    </row>
    <row r="173" spans="1:26" x14ac:dyDescent="0.25">
      <c r="A173" s="108">
        <v>5693</v>
      </c>
      <c r="B173" s="116" t="s">
        <v>264</v>
      </c>
      <c r="C173" s="392">
        <v>-3415045.005347346</v>
      </c>
      <c r="D173" s="392">
        <v>0</v>
      </c>
      <c r="E173" s="393">
        <v>-243586.44052653137</v>
      </c>
      <c r="F173" s="389">
        <v>-3658631.4458738775</v>
      </c>
      <c r="G173" s="392">
        <v>-118823</v>
      </c>
      <c r="H173" s="392">
        <v>-100880</v>
      </c>
      <c r="I173" s="392">
        <v>-129708</v>
      </c>
      <c r="J173" s="394">
        <v>-349411</v>
      </c>
      <c r="K173" s="392">
        <v>862370.79600686394</v>
      </c>
      <c r="L173" s="392">
        <v>330728.19464280526</v>
      </c>
      <c r="M173" s="15">
        <v>1193098.9906496692</v>
      </c>
      <c r="N173" s="389">
        <v>0</v>
      </c>
      <c r="P173" s="715">
        <v>-2814943.4552242085</v>
      </c>
      <c r="Q173" s="716"/>
      <c r="R173" s="716"/>
      <c r="S173" s="717"/>
      <c r="T173" s="389">
        <v>2751334.3112218673</v>
      </c>
      <c r="U173" s="390">
        <v>465009.08206661476</v>
      </c>
      <c r="V173" s="395">
        <v>401399.93806427356</v>
      </c>
      <c r="W173" s="408">
        <v>87077.769189049301</v>
      </c>
      <c r="X173" s="177"/>
      <c r="Y173" s="177"/>
      <c r="Z173" s="15"/>
    </row>
    <row r="174" spans="1:26" x14ac:dyDescent="0.25">
      <c r="A174" s="108">
        <v>5701</v>
      </c>
      <c r="B174" s="116" t="s">
        <v>265</v>
      </c>
      <c r="C174" s="392">
        <v>145295.9069375096</v>
      </c>
      <c r="D174" s="392">
        <v>0</v>
      </c>
      <c r="E174" s="393">
        <v>-19431.779656938477</v>
      </c>
      <c r="F174" s="389">
        <v>125864.12728057112</v>
      </c>
      <c r="G174" s="392">
        <v>-1934</v>
      </c>
      <c r="H174" s="392">
        <v>0</v>
      </c>
      <c r="I174" s="392">
        <v>0</v>
      </c>
      <c r="J174" s="394">
        <v>-1934</v>
      </c>
      <c r="K174" s="392">
        <v>111053.15225382568</v>
      </c>
      <c r="L174" s="392">
        <v>28231.471994200663</v>
      </c>
      <c r="M174" s="15">
        <v>139284.62424802635</v>
      </c>
      <c r="N174" s="389">
        <v>0</v>
      </c>
      <c r="P174" s="715">
        <v>263214.75152859744</v>
      </c>
      <c r="Q174" s="716"/>
      <c r="R174" s="716"/>
      <c r="S174" s="717"/>
      <c r="T174" s="389">
        <v>234858.16695438867</v>
      </c>
      <c r="U174" s="390">
        <v>35771.4051501227</v>
      </c>
      <c r="V174" s="395">
        <v>533844.32363310875</v>
      </c>
      <c r="W174" s="408">
        <v>7433.0935251322508</v>
      </c>
      <c r="X174" s="177"/>
      <c r="Y174" s="177"/>
      <c r="Z174" s="15"/>
    </row>
    <row r="175" spans="1:26" x14ac:dyDescent="0.25">
      <c r="A175" s="108">
        <v>5702</v>
      </c>
      <c r="B175" s="116" t="s">
        <v>266</v>
      </c>
      <c r="C175" s="392">
        <v>2328796.1172698135</v>
      </c>
      <c r="D175" s="392">
        <v>0</v>
      </c>
      <c r="E175" s="393">
        <v>42150.597393536358</v>
      </c>
      <c r="F175" s="389">
        <v>2370946.71466335</v>
      </c>
      <c r="G175" s="392">
        <v>-301152</v>
      </c>
      <c r="H175" s="392">
        <v>-350353</v>
      </c>
      <c r="I175" s="392">
        <v>0</v>
      </c>
      <c r="J175" s="394">
        <v>-651505</v>
      </c>
      <c r="K175" s="392">
        <v>892274.0070584045</v>
      </c>
      <c r="L175" s="392">
        <v>346593.81526764535</v>
      </c>
      <c r="M175" s="15">
        <v>1238867.8223260499</v>
      </c>
      <c r="N175" s="389">
        <v>0</v>
      </c>
      <c r="P175" s="715">
        <v>2958309.5369894002</v>
      </c>
      <c r="Q175" s="716"/>
      <c r="R175" s="716"/>
      <c r="S175" s="717"/>
      <c r="T175" s="389">
        <v>2883320.7190970611</v>
      </c>
      <c r="U175" s="390">
        <v>488517.69063859608</v>
      </c>
      <c r="V175" s="395">
        <v>6330147.9467250574</v>
      </c>
      <c r="W175" s="408">
        <v>91255.04488912363</v>
      </c>
      <c r="X175" s="177"/>
      <c r="Y175" s="177"/>
      <c r="Z175" s="15"/>
    </row>
    <row r="176" spans="1:26" x14ac:dyDescent="0.25">
      <c r="A176" s="108">
        <v>5703</v>
      </c>
      <c r="B176" s="116" t="s">
        <v>412</v>
      </c>
      <c r="C176" s="392">
        <v>-308721.88845256483</v>
      </c>
      <c r="D176" s="392">
        <v>0</v>
      </c>
      <c r="E176" s="393">
        <v>-83629.914261321304</v>
      </c>
      <c r="F176" s="389">
        <v>-392351.80271388614</v>
      </c>
      <c r="G176" s="392">
        <v>-97190</v>
      </c>
      <c r="H176" s="392">
        <v>-142473</v>
      </c>
      <c r="I176" s="392">
        <v>0</v>
      </c>
      <c r="J176" s="394">
        <v>-239663</v>
      </c>
      <c r="K176" s="392">
        <v>565097.69790625502</v>
      </c>
      <c r="L176" s="392">
        <v>173005.26019586605</v>
      </c>
      <c r="M176" s="15">
        <v>738102.95810212102</v>
      </c>
      <c r="N176" s="389">
        <v>0</v>
      </c>
      <c r="P176" s="715">
        <v>106088.15538823488</v>
      </c>
      <c r="Q176" s="716"/>
      <c r="R176" s="716"/>
      <c r="S176" s="717"/>
      <c r="T176" s="389">
        <v>1439234.1388155306</v>
      </c>
      <c r="U176" s="390">
        <v>231305.85567456533</v>
      </c>
      <c r="V176" s="395">
        <v>1776628.1498783308</v>
      </c>
      <c r="W176" s="408">
        <v>45550.734288310443</v>
      </c>
      <c r="X176" s="177"/>
      <c r="Y176" s="177"/>
      <c r="Z176" s="15"/>
    </row>
    <row r="177" spans="1:26" x14ac:dyDescent="0.25">
      <c r="A177" s="108">
        <v>5704</v>
      </c>
      <c r="B177" s="116" t="s">
        <v>267</v>
      </c>
      <c r="C177" s="392">
        <v>2271486.3283201419</v>
      </c>
      <c r="D177" s="392">
        <v>0</v>
      </c>
      <c r="E177" s="393">
        <v>166634.08193746919</v>
      </c>
      <c r="F177" s="389">
        <v>2438120.410257611</v>
      </c>
      <c r="G177" s="392">
        <v>0</v>
      </c>
      <c r="H177" s="392">
        <v>0</v>
      </c>
      <c r="I177" s="392">
        <v>0</v>
      </c>
      <c r="J177" s="394">
        <v>0</v>
      </c>
      <c r="K177" s="392">
        <v>680532.88762727554</v>
      </c>
      <c r="L177" s="392">
        <v>234251.22216675591</v>
      </c>
      <c r="M177" s="15">
        <v>914784.10979403148</v>
      </c>
      <c r="N177" s="389">
        <v>0</v>
      </c>
      <c r="P177" s="715">
        <v>3352904.5200516423</v>
      </c>
      <c r="Q177" s="716"/>
      <c r="R177" s="716"/>
      <c r="S177" s="717"/>
      <c r="T177" s="389">
        <v>1948740.4927455061</v>
      </c>
      <c r="U177" s="390">
        <v>322055.99905905197</v>
      </c>
      <c r="V177" s="395">
        <v>5623701.0118562011</v>
      </c>
      <c r="W177" s="408">
        <v>61676.247101097353</v>
      </c>
      <c r="X177" s="177"/>
      <c r="Y177" s="177"/>
      <c r="Z177" s="15"/>
    </row>
    <row r="178" spans="1:26" x14ac:dyDescent="0.25">
      <c r="A178" s="108">
        <v>5705</v>
      </c>
      <c r="B178" s="116" t="s">
        <v>268</v>
      </c>
      <c r="C178" s="392">
        <v>445128.44502352842</v>
      </c>
      <c r="D178" s="392">
        <v>0</v>
      </c>
      <c r="E178" s="393">
        <v>-52160.615879217017</v>
      </c>
      <c r="F178" s="389">
        <v>392967.82914431137</v>
      </c>
      <c r="G178" s="392">
        <v>0</v>
      </c>
      <c r="H178" s="392">
        <v>0</v>
      </c>
      <c r="I178" s="392">
        <v>0</v>
      </c>
      <c r="J178" s="394">
        <v>0</v>
      </c>
      <c r="K178" s="392">
        <v>451096.06886574649</v>
      </c>
      <c r="L178" s="392">
        <v>114675.77260454236</v>
      </c>
      <c r="M178" s="15">
        <v>565771.84147028881</v>
      </c>
      <c r="N178" s="389">
        <v>0</v>
      </c>
      <c r="P178" s="715">
        <v>958739.67061460018</v>
      </c>
      <c r="Q178" s="716"/>
      <c r="R178" s="716"/>
      <c r="S178" s="717"/>
      <c r="T178" s="389">
        <v>953989.992215554</v>
      </c>
      <c r="U178" s="390">
        <v>145302.85645690336</v>
      </c>
      <c r="V178" s="395">
        <v>2058032.5192870575</v>
      </c>
      <c r="W178" s="408">
        <v>30193.103038037199</v>
      </c>
      <c r="X178" s="177"/>
      <c r="Y178" s="177"/>
      <c r="Z178" s="15"/>
    </row>
    <row r="179" spans="1:26" x14ac:dyDescent="0.25">
      <c r="A179" s="108">
        <v>5706</v>
      </c>
      <c r="B179" s="116" t="s">
        <v>269</v>
      </c>
      <c r="C179" s="392">
        <v>828742.93834083481</v>
      </c>
      <c r="D179" s="392">
        <v>0</v>
      </c>
      <c r="E179" s="393">
        <v>-146502.97702737671</v>
      </c>
      <c r="F179" s="389">
        <v>682239.96131345816</v>
      </c>
      <c r="G179" s="392">
        <v>0</v>
      </c>
      <c r="H179" s="392">
        <v>0</v>
      </c>
      <c r="I179" s="392">
        <v>0</v>
      </c>
      <c r="J179" s="394">
        <v>0</v>
      </c>
      <c r="K179" s="392">
        <v>488580.6578626071</v>
      </c>
      <c r="L179" s="392">
        <v>132407.93683230475</v>
      </c>
      <c r="M179" s="15">
        <v>620988.59469491185</v>
      </c>
      <c r="N179" s="389">
        <v>0</v>
      </c>
      <c r="P179" s="715">
        <v>1303228.5560083701</v>
      </c>
      <c r="Q179" s="716"/>
      <c r="R179" s="716"/>
      <c r="S179" s="717"/>
      <c r="T179" s="389">
        <v>1101504.2127819469</v>
      </c>
      <c r="U179" s="390">
        <v>171151.47491684847</v>
      </c>
      <c r="V179" s="395">
        <v>2575884.2437071651</v>
      </c>
      <c r="W179" s="408">
        <v>34861.822938120269</v>
      </c>
      <c r="X179" s="177"/>
      <c r="Y179" s="177"/>
      <c r="Z179" s="15"/>
    </row>
    <row r="180" spans="1:26" x14ac:dyDescent="0.25">
      <c r="A180" s="108">
        <v>5707</v>
      </c>
      <c r="B180" s="116" t="s">
        <v>270</v>
      </c>
      <c r="C180" s="392">
        <v>1247894.5520732387</v>
      </c>
      <c r="D180" s="392">
        <v>0</v>
      </c>
      <c r="E180" s="393">
        <v>308537.80243069329</v>
      </c>
      <c r="F180" s="389">
        <v>1556432.3545039319</v>
      </c>
      <c r="G180" s="392">
        <v>0</v>
      </c>
      <c r="H180" s="392">
        <v>0</v>
      </c>
      <c r="I180" s="392">
        <v>0</v>
      </c>
      <c r="J180" s="394">
        <v>0</v>
      </c>
      <c r="K180" s="392">
        <v>545528.68479164387</v>
      </c>
      <c r="L180" s="392">
        <v>162622.61140461042</v>
      </c>
      <c r="M180" s="15">
        <v>708151.29619625432</v>
      </c>
      <c r="N180" s="389">
        <v>0</v>
      </c>
      <c r="P180" s="715">
        <v>2264583.6507001864</v>
      </c>
      <c r="Q180" s="716"/>
      <c r="R180" s="716"/>
      <c r="S180" s="717"/>
      <c r="T180" s="389">
        <v>1352860.6807207349</v>
      </c>
      <c r="U180" s="390">
        <v>215921.54565319521</v>
      </c>
      <c r="V180" s="395">
        <v>3833365.8770741164</v>
      </c>
      <c r="W180" s="408">
        <v>42817.075925761805</v>
      </c>
      <c r="X180" s="177"/>
      <c r="Y180" s="177"/>
      <c r="Z180" s="15"/>
    </row>
    <row r="181" spans="1:26" x14ac:dyDescent="0.25">
      <c r="A181" s="108">
        <v>5708</v>
      </c>
      <c r="B181" s="116" t="s">
        <v>271</v>
      </c>
      <c r="C181" s="392">
        <v>1568557.2393599991</v>
      </c>
      <c r="D181" s="392">
        <v>0</v>
      </c>
      <c r="E181" s="393">
        <v>-38424.516748614871</v>
      </c>
      <c r="F181" s="389">
        <v>1530132.7226113842</v>
      </c>
      <c r="G181" s="392">
        <v>0</v>
      </c>
      <c r="H181" s="392">
        <v>0</v>
      </c>
      <c r="I181" s="392">
        <v>-52462</v>
      </c>
      <c r="J181" s="394">
        <v>-52462</v>
      </c>
      <c r="K181" s="392">
        <v>461315.96543326124</v>
      </c>
      <c r="L181" s="392">
        <v>117942.22390965649</v>
      </c>
      <c r="M181" s="15">
        <v>579258.18934291776</v>
      </c>
      <c r="N181" s="389">
        <v>0</v>
      </c>
      <c r="P181" s="715">
        <v>2056928.9119543019</v>
      </c>
      <c r="Q181" s="716"/>
      <c r="R181" s="716"/>
      <c r="S181" s="717"/>
      <c r="T181" s="389">
        <v>981163.6644251527</v>
      </c>
      <c r="U181" s="390">
        <v>149717.15533651254</v>
      </c>
      <c r="V181" s="395">
        <v>3187809.7317159674</v>
      </c>
      <c r="W181" s="408">
        <v>31053.130388052501</v>
      </c>
      <c r="X181" s="177"/>
      <c r="Y181" s="177"/>
      <c r="Z181" s="15"/>
    </row>
    <row r="182" spans="1:26" x14ac:dyDescent="0.25">
      <c r="A182" s="108">
        <v>5709</v>
      </c>
      <c r="B182" s="116" t="s">
        <v>272</v>
      </c>
      <c r="C182" s="392">
        <v>2555079.3600388649</v>
      </c>
      <c r="D182" s="392">
        <v>0</v>
      </c>
      <c r="E182" s="393">
        <v>-88506.198191130126</v>
      </c>
      <c r="F182" s="389">
        <v>2466573.1618477348</v>
      </c>
      <c r="G182" s="392">
        <v>-4487</v>
      </c>
      <c r="H182" s="392">
        <v>0</v>
      </c>
      <c r="I182" s="392">
        <v>0</v>
      </c>
      <c r="J182" s="394">
        <v>-4487</v>
      </c>
      <c r="K182" s="392">
        <v>519583.25167339551</v>
      </c>
      <c r="L182" s="392">
        <v>148856.85233305805</v>
      </c>
      <c r="M182" s="15">
        <v>668440.10400645353</v>
      </c>
      <c r="N182" s="389">
        <v>0</v>
      </c>
      <c r="P182" s="715">
        <v>3130526.2658541882</v>
      </c>
      <c r="Q182" s="716"/>
      <c r="R182" s="716"/>
      <c r="S182" s="717"/>
      <c r="T182" s="389">
        <v>1238343.0621231403</v>
      </c>
      <c r="U182" s="390">
        <v>195524.370568682</v>
      </c>
      <c r="V182" s="395">
        <v>4564393.698546011</v>
      </c>
      <c r="W182" s="408">
        <v>39192.674950697321</v>
      </c>
      <c r="X182" s="177"/>
      <c r="Y182" s="177"/>
      <c r="Z182" s="15"/>
    </row>
    <row r="183" spans="1:26" x14ac:dyDescent="0.25">
      <c r="A183" s="108">
        <v>5710</v>
      </c>
      <c r="B183" s="116" t="s">
        <v>273</v>
      </c>
      <c r="C183" s="392">
        <v>291641.40996086947</v>
      </c>
      <c r="D183" s="392">
        <v>0</v>
      </c>
      <c r="E183" s="393">
        <v>-6032.9529006242374</v>
      </c>
      <c r="F183" s="389">
        <v>285608.45706024521</v>
      </c>
      <c r="G183" s="392">
        <v>0</v>
      </c>
      <c r="H183" s="392">
        <v>0</v>
      </c>
      <c r="I183" s="392">
        <v>0</v>
      </c>
      <c r="J183" s="394">
        <v>0</v>
      </c>
      <c r="K183" s="392">
        <v>238167.71082535342</v>
      </c>
      <c r="L183" s="392">
        <v>60546.008119793987</v>
      </c>
      <c r="M183" s="15">
        <v>298713.71894514741</v>
      </c>
      <c r="N183" s="389">
        <v>0</v>
      </c>
      <c r="P183" s="715">
        <v>584322.17600539257</v>
      </c>
      <c r="Q183" s="716"/>
      <c r="R183" s="716"/>
      <c r="S183" s="717"/>
      <c r="T183" s="389">
        <v>503683.42417077569</v>
      </c>
      <c r="U183" s="390">
        <v>76716.360631874719</v>
      </c>
      <c r="V183" s="395">
        <v>1164721.9608080429</v>
      </c>
      <c r="W183" s="408">
        <v>15941.221237783629</v>
      </c>
      <c r="X183" s="177"/>
      <c r="Y183" s="177"/>
      <c r="Z183" s="15"/>
    </row>
    <row r="184" spans="1:26" x14ac:dyDescent="0.25">
      <c r="A184" s="108">
        <v>5711</v>
      </c>
      <c r="B184" s="116" t="s">
        <v>274</v>
      </c>
      <c r="C184" s="392">
        <v>6236160.435618625</v>
      </c>
      <c r="D184" s="392">
        <v>0</v>
      </c>
      <c r="E184" s="393">
        <v>208665.33242472378</v>
      </c>
      <c r="F184" s="389">
        <v>6444825.7680433486</v>
      </c>
      <c r="G184" s="392">
        <v>0</v>
      </c>
      <c r="H184" s="392">
        <v>0</v>
      </c>
      <c r="I184" s="392">
        <v>0</v>
      </c>
      <c r="J184" s="394">
        <v>0</v>
      </c>
      <c r="K184" s="392">
        <v>897111.29119909485</v>
      </c>
      <c r="L184" s="392">
        <v>349160.31272166356</v>
      </c>
      <c r="M184" s="15">
        <v>1246271.6039207585</v>
      </c>
      <c r="N184" s="389">
        <v>0</v>
      </c>
      <c r="P184" s="715">
        <v>7691097.3719641073</v>
      </c>
      <c r="Q184" s="716"/>
      <c r="R184" s="716"/>
      <c r="S184" s="717"/>
      <c r="T184" s="389">
        <v>2904671.4615474599</v>
      </c>
      <c r="U184" s="390">
        <v>492320.55378994602</v>
      </c>
      <c r="V184" s="395">
        <v>11088089.387301512</v>
      </c>
      <c r="W184" s="408">
        <v>91930.780664135644</v>
      </c>
      <c r="X184" s="177"/>
      <c r="Y184" s="177"/>
      <c r="Z184" s="15"/>
    </row>
    <row r="185" spans="1:26" x14ac:dyDescent="0.25">
      <c r="A185" s="108">
        <v>5712</v>
      </c>
      <c r="B185" s="116" t="s">
        <v>275</v>
      </c>
      <c r="C185" s="392">
        <v>12057955.562506117</v>
      </c>
      <c r="D185" s="392">
        <v>0</v>
      </c>
      <c r="E185" s="393">
        <v>907866.78723952395</v>
      </c>
      <c r="F185" s="389">
        <v>12965822.349745641</v>
      </c>
      <c r="G185" s="392">
        <v>0</v>
      </c>
      <c r="H185" s="392">
        <v>0</v>
      </c>
      <c r="I185" s="392">
        <v>0</v>
      </c>
      <c r="J185" s="394">
        <v>0</v>
      </c>
      <c r="K185" s="392">
        <v>885426.85682202515</v>
      </c>
      <c r="L185" s="392">
        <v>371325.51800636656</v>
      </c>
      <c r="M185" s="15">
        <v>1256752.3748283917</v>
      </c>
      <c r="N185" s="389">
        <v>0</v>
      </c>
      <c r="P185" s="715">
        <v>14222574.724574033</v>
      </c>
      <c r="Q185" s="716"/>
      <c r="R185" s="716"/>
      <c r="S185" s="717"/>
      <c r="T185" s="389">
        <v>3089064.2372554513</v>
      </c>
      <c r="U185" s="390">
        <v>527454.77766151121</v>
      </c>
      <c r="V185" s="395">
        <v>17839093.739490993</v>
      </c>
      <c r="W185" s="408">
        <v>97766.680539239474</v>
      </c>
      <c r="X185" s="177"/>
      <c r="Y185" s="177"/>
      <c r="Z185" s="15"/>
    </row>
    <row r="186" spans="1:26" x14ac:dyDescent="0.25">
      <c r="A186" s="108">
        <v>5713</v>
      </c>
      <c r="B186" s="116" t="s">
        <v>276</v>
      </c>
      <c r="C186" s="392">
        <v>9741669.5389317553</v>
      </c>
      <c r="D186" s="392">
        <v>0</v>
      </c>
      <c r="E186" s="393">
        <v>380708.01116355846</v>
      </c>
      <c r="F186" s="389">
        <v>10122377.550095314</v>
      </c>
      <c r="G186" s="392">
        <v>0</v>
      </c>
      <c r="H186" s="392">
        <v>0</v>
      </c>
      <c r="I186" s="392">
        <v>0</v>
      </c>
      <c r="J186" s="394">
        <v>0</v>
      </c>
      <c r="K186" s="392">
        <v>772001.53319669364</v>
      </c>
      <c r="L186" s="392">
        <v>282781.35584273719</v>
      </c>
      <c r="M186" s="15">
        <v>1054782.8890394308</v>
      </c>
      <c r="N186" s="389">
        <v>0</v>
      </c>
      <c r="P186" s="715">
        <v>11177160.439134745</v>
      </c>
      <c r="Q186" s="716"/>
      <c r="R186" s="716"/>
      <c r="S186" s="717"/>
      <c r="T186" s="389">
        <v>2352463.6227166867</v>
      </c>
      <c r="U186" s="390">
        <v>74453.796301324692</v>
      </c>
      <c r="V186" s="395">
        <v>13604077.858152755</v>
      </c>
      <c r="W186" s="408">
        <v>74453.796301324692</v>
      </c>
      <c r="X186" s="177"/>
      <c r="Y186" s="177"/>
      <c r="Z186" s="15"/>
    </row>
    <row r="187" spans="1:26" x14ac:dyDescent="0.25">
      <c r="A187" s="108">
        <v>5714</v>
      </c>
      <c r="B187" s="116" t="s">
        <v>277</v>
      </c>
      <c r="C187" s="392">
        <v>219552.37812100849</v>
      </c>
      <c r="D187" s="392">
        <v>0</v>
      </c>
      <c r="E187" s="393">
        <v>53893.69225916249</v>
      </c>
      <c r="F187" s="389">
        <v>273446.07038017095</v>
      </c>
      <c r="G187" s="392">
        <v>0</v>
      </c>
      <c r="H187" s="392">
        <v>0</v>
      </c>
      <c r="I187" s="392">
        <v>0</v>
      </c>
      <c r="J187" s="394">
        <v>0</v>
      </c>
      <c r="K187" s="392">
        <v>518923.62201784668</v>
      </c>
      <c r="L187" s="392">
        <v>148506.87540751009</v>
      </c>
      <c r="M187" s="15">
        <v>667430.49742535676</v>
      </c>
      <c r="N187" s="389">
        <v>0</v>
      </c>
      <c r="P187" s="715">
        <v>940876.56780552771</v>
      </c>
      <c r="Q187" s="716"/>
      <c r="R187" s="716"/>
      <c r="S187" s="717"/>
      <c r="T187" s="389">
        <v>1235431.5972435405</v>
      </c>
      <c r="U187" s="390">
        <v>195005.79832077067</v>
      </c>
      <c r="V187" s="395">
        <v>2371313.9633698389</v>
      </c>
      <c r="W187" s="408">
        <v>39100.529163195679</v>
      </c>
      <c r="X187" s="177"/>
      <c r="Y187" s="177"/>
      <c r="Z187" s="15"/>
    </row>
    <row r="188" spans="1:26" x14ac:dyDescent="0.25">
      <c r="A188" s="108">
        <v>5715</v>
      </c>
      <c r="B188" s="116" t="s">
        <v>278</v>
      </c>
      <c r="C188" s="392">
        <v>414794.2810819929</v>
      </c>
      <c r="D188" s="392">
        <v>0</v>
      </c>
      <c r="E188" s="393">
        <v>-5505.4406920925539</v>
      </c>
      <c r="F188" s="389">
        <v>409288.84038990038</v>
      </c>
      <c r="G188" s="392">
        <v>0</v>
      </c>
      <c r="H188" s="392">
        <v>0</v>
      </c>
      <c r="I188" s="392">
        <v>0</v>
      </c>
      <c r="J188" s="394">
        <v>0</v>
      </c>
      <c r="K188" s="392">
        <v>484183.12682561576</v>
      </c>
      <c r="L188" s="392">
        <v>130074.75732865182</v>
      </c>
      <c r="M188" s="15">
        <v>614257.88415426761</v>
      </c>
      <c r="N188" s="389">
        <v>0</v>
      </c>
      <c r="P188" s="715">
        <v>1023546.724544168</v>
      </c>
      <c r="Q188" s="716"/>
      <c r="R188" s="716"/>
      <c r="S188" s="717"/>
      <c r="T188" s="389">
        <v>1082094.4469179478</v>
      </c>
      <c r="U188" s="390">
        <v>167694.32659743945</v>
      </c>
      <c r="V188" s="395">
        <v>2273335.4980595554</v>
      </c>
      <c r="W188" s="408">
        <v>34247.517688109336</v>
      </c>
      <c r="X188" s="177"/>
      <c r="Y188" s="177"/>
      <c r="Z188" s="15"/>
    </row>
    <row r="189" spans="1:26" x14ac:dyDescent="0.25">
      <c r="A189" s="108">
        <v>5716</v>
      </c>
      <c r="B189" s="116" t="s">
        <v>279</v>
      </c>
      <c r="C189" s="392">
        <v>9655935.3479952049</v>
      </c>
      <c r="D189" s="392">
        <v>0</v>
      </c>
      <c r="E189" s="393">
        <v>36774.14064704132</v>
      </c>
      <c r="F189" s="389">
        <v>9692709.4886422455</v>
      </c>
      <c r="G189" s="392">
        <v>0</v>
      </c>
      <c r="H189" s="392">
        <v>0</v>
      </c>
      <c r="I189" s="392">
        <v>-98823</v>
      </c>
      <c r="J189" s="394">
        <v>-98823</v>
      </c>
      <c r="K189" s="392">
        <v>621386.09517974313</v>
      </c>
      <c r="L189" s="392">
        <v>202869.95784262379</v>
      </c>
      <c r="M189" s="15">
        <v>824256.05302236695</v>
      </c>
      <c r="N189" s="389">
        <v>0</v>
      </c>
      <c r="P189" s="715">
        <v>10418142.541664612</v>
      </c>
      <c r="Q189" s="716"/>
      <c r="R189" s="716"/>
      <c r="S189" s="717"/>
      <c r="T189" s="389">
        <v>1687679.1418747187</v>
      </c>
      <c r="U189" s="390">
        <v>275557.35416300071</v>
      </c>
      <c r="V189" s="395">
        <v>12381379.037702331</v>
      </c>
      <c r="W189" s="408">
        <v>53413.841488450344</v>
      </c>
      <c r="X189" s="177"/>
      <c r="Y189" s="177"/>
      <c r="Z189" s="15"/>
    </row>
    <row r="190" spans="1:26" x14ac:dyDescent="0.25">
      <c r="A190" s="108">
        <v>5717</v>
      </c>
      <c r="B190" s="116" t="s">
        <v>280</v>
      </c>
      <c r="C190" s="392">
        <v>10958788.62907772</v>
      </c>
      <c r="D190" s="392">
        <v>0</v>
      </c>
      <c r="E190" s="393">
        <v>29708.855830121087</v>
      </c>
      <c r="F190" s="389">
        <v>10988497.484907841</v>
      </c>
      <c r="G190" s="392">
        <v>0</v>
      </c>
      <c r="H190" s="392">
        <v>0</v>
      </c>
      <c r="I190" s="392">
        <v>0</v>
      </c>
      <c r="J190" s="394">
        <v>0</v>
      </c>
      <c r="K190" s="392">
        <v>841420.54930196982</v>
      </c>
      <c r="L190" s="392">
        <v>442370.83389259881</v>
      </c>
      <c r="M190" s="15">
        <v>1283791.3831945686</v>
      </c>
      <c r="N190" s="389">
        <v>0</v>
      </c>
      <c r="P190" s="715">
        <v>12272288.868102409</v>
      </c>
      <c r="Q190" s="716"/>
      <c r="R190" s="716"/>
      <c r="S190" s="717"/>
      <c r="T190" s="389">
        <v>3680091.6078142226</v>
      </c>
      <c r="U190" s="390">
        <v>640350.13926534285</v>
      </c>
      <c r="V190" s="395">
        <v>16592730.615181975</v>
      </c>
      <c r="W190" s="408">
        <v>116472.27540207229</v>
      </c>
      <c r="X190" s="177"/>
      <c r="Y190" s="177"/>
      <c r="Z190" s="15"/>
    </row>
    <row r="191" spans="1:26" x14ac:dyDescent="0.25">
      <c r="A191" s="108">
        <v>5718</v>
      </c>
      <c r="B191" s="116" t="s">
        <v>281</v>
      </c>
      <c r="C191" s="392">
        <v>5203318.0975521998</v>
      </c>
      <c r="D191" s="392">
        <v>0</v>
      </c>
      <c r="E191" s="393">
        <v>89343.967434542952</v>
      </c>
      <c r="F191" s="389">
        <v>5292662.064986743</v>
      </c>
      <c r="G191" s="392">
        <v>0</v>
      </c>
      <c r="H191" s="392">
        <v>0</v>
      </c>
      <c r="I191" s="392">
        <v>0</v>
      </c>
      <c r="J191" s="394">
        <v>0</v>
      </c>
      <c r="K191" s="392">
        <v>687129.18418276228</v>
      </c>
      <c r="L191" s="392">
        <v>237750.99142223533</v>
      </c>
      <c r="M191" s="15">
        <v>924880.17560499767</v>
      </c>
      <c r="N191" s="389">
        <v>0</v>
      </c>
      <c r="P191" s="715">
        <v>6217542.2405917402</v>
      </c>
      <c r="Q191" s="716"/>
      <c r="R191" s="716"/>
      <c r="S191" s="717"/>
      <c r="T191" s="389">
        <v>1977855.1415415045</v>
      </c>
      <c r="U191" s="390">
        <v>327241.72153816547</v>
      </c>
      <c r="V191" s="395">
        <v>8522639.1036714092</v>
      </c>
      <c r="W191" s="408">
        <v>62597.704976113746</v>
      </c>
      <c r="X191" s="177"/>
      <c r="Y191" s="177"/>
      <c r="Z191" s="15"/>
    </row>
    <row r="192" spans="1:26" x14ac:dyDescent="0.25">
      <c r="A192" s="108">
        <v>5719</v>
      </c>
      <c r="B192" s="116" t="s">
        <v>282</v>
      </c>
      <c r="C192" s="392">
        <v>4417648.8638333408</v>
      </c>
      <c r="D192" s="392">
        <v>0</v>
      </c>
      <c r="E192" s="393">
        <v>127339.39224356879</v>
      </c>
      <c r="F192" s="389">
        <v>4544988.2560769096</v>
      </c>
      <c r="G192" s="392">
        <v>-27537</v>
      </c>
      <c r="H192" s="392">
        <v>-373</v>
      </c>
      <c r="I192" s="392">
        <v>0</v>
      </c>
      <c r="J192" s="394">
        <v>-27910</v>
      </c>
      <c r="K192" s="392">
        <v>516504.9799475015</v>
      </c>
      <c r="L192" s="392">
        <v>147223.62668050098</v>
      </c>
      <c r="M192" s="15">
        <v>663728.60662800248</v>
      </c>
      <c r="N192" s="389">
        <v>0</v>
      </c>
      <c r="P192" s="715">
        <v>5180806.8627049122</v>
      </c>
      <c r="Q192" s="716"/>
      <c r="R192" s="716"/>
      <c r="S192" s="717"/>
      <c r="T192" s="389">
        <v>1224756.226018341</v>
      </c>
      <c r="U192" s="390">
        <v>193104.3667450957</v>
      </c>
      <c r="V192" s="395">
        <v>6598667.4554683492</v>
      </c>
      <c r="W192" s="408">
        <v>38762.661275689672</v>
      </c>
      <c r="X192" s="177"/>
      <c r="Y192" s="177"/>
      <c r="Z192" s="15"/>
    </row>
    <row r="193" spans="1:26" x14ac:dyDescent="0.25">
      <c r="A193" s="108">
        <v>5720</v>
      </c>
      <c r="B193" s="116" t="s">
        <v>283</v>
      </c>
      <c r="C193" s="392">
        <v>1611737.2948534121</v>
      </c>
      <c r="D193" s="392">
        <v>0</v>
      </c>
      <c r="E193" s="393">
        <v>8976.5787172714772</v>
      </c>
      <c r="F193" s="389">
        <v>1620713.8735706836</v>
      </c>
      <c r="G193" s="392">
        <v>0</v>
      </c>
      <c r="H193" s="392">
        <v>0</v>
      </c>
      <c r="I193" s="392">
        <v>0</v>
      </c>
      <c r="J193" s="394">
        <v>0</v>
      </c>
      <c r="K193" s="392">
        <v>463074.97784805775</v>
      </c>
      <c r="L193" s="392">
        <v>118875.49571111766</v>
      </c>
      <c r="M193" s="15">
        <v>581950.47355917539</v>
      </c>
      <c r="N193" s="389">
        <v>0</v>
      </c>
      <c r="P193" s="715">
        <v>2202664.347129859</v>
      </c>
      <c r="Q193" s="716"/>
      <c r="R193" s="716"/>
      <c r="S193" s="717"/>
      <c r="T193" s="389">
        <v>988927.57077075227</v>
      </c>
      <c r="U193" s="390">
        <v>151100.01466427618</v>
      </c>
      <c r="V193" s="395">
        <v>3342691.9325648872</v>
      </c>
      <c r="W193" s="408">
        <v>31298.852488056873</v>
      </c>
      <c r="X193" s="177"/>
      <c r="Y193" s="177"/>
      <c r="Z193" s="15"/>
    </row>
    <row r="194" spans="1:26" x14ac:dyDescent="0.25">
      <c r="A194" s="108">
        <v>5721</v>
      </c>
      <c r="B194" s="116" t="s">
        <v>284</v>
      </c>
      <c r="C194" s="392">
        <v>2312742.4918075958</v>
      </c>
      <c r="D194" s="392">
        <v>0</v>
      </c>
      <c r="E194" s="393">
        <v>321078.56890342105</v>
      </c>
      <c r="F194" s="389">
        <v>2633821.0607110169</v>
      </c>
      <c r="G194" s="392">
        <v>0</v>
      </c>
      <c r="H194" s="392">
        <v>0</v>
      </c>
      <c r="I194" s="392">
        <v>0</v>
      </c>
      <c r="J194" s="394">
        <v>0</v>
      </c>
      <c r="K194" s="392">
        <v>-681649.82173626777</v>
      </c>
      <c r="L194" s="392">
        <v>1356369.8671526797</v>
      </c>
      <c r="M194" s="15">
        <v>674720.04541641194</v>
      </c>
      <c r="N194" s="389">
        <v>0</v>
      </c>
      <c r="P194" s="715">
        <v>3308541.1061274288</v>
      </c>
      <c r="Q194" s="716"/>
      <c r="R194" s="716"/>
      <c r="S194" s="717"/>
      <c r="T194" s="389">
        <v>13563544.385762546</v>
      </c>
      <c r="U194" s="390">
        <v>2690111.8586827028</v>
      </c>
      <c r="V194" s="395">
        <v>19562197.350572679</v>
      </c>
      <c r="W194" s="408">
        <v>429276.50870763772</v>
      </c>
      <c r="X194" s="177"/>
      <c r="Y194" s="177"/>
      <c r="Z194" s="15"/>
    </row>
    <row r="195" spans="1:26" x14ac:dyDescent="0.25">
      <c r="A195" s="108">
        <v>5722</v>
      </c>
      <c r="B195" s="116" t="s">
        <v>285</v>
      </c>
      <c r="C195" s="392">
        <v>133890.93036511578</v>
      </c>
      <c r="D195" s="392">
        <v>0</v>
      </c>
      <c r="E195" s="393">
        <v>426745.55782843026</v>
      </c>
      <c r="F195" s="389">
        <v>560636.48819354607</v>
      </c>
      <c r="G195" s="392">
        <v>0</v>
      </c>
      <c r="H195" s="392">
        <v>0</v>
      </c>
      <c r="I195" s="392">
        <v>0</v>
      </c>
      <c r="J195" s="394">
        <v>0</v>
      </c>
      <c r="K195" s="392">
        <v>179887.75075826311</v>
      </c>
      <c r="L195" s="392">
        <v>45730.318271597767</v>
      </c>
      <c r="M195" s="15">
        <v>225618.06902986087</v>
      </c>
      <c r="N195" s="389">
        <v>0</v>
      </c>
      <c r="P195" s="715">
        <v>786254.55722340697</v>
      </c>
      <c r="Q195" s="716"/>
      <c r="R195" s="716"/>
      <c r="S195" s="717"/>
      <c r="T195" s="389">
        <v>380431.41093438165</v>
      </c>
      <c r="U195" s="390">
        <v>57943.763714248344</v>
      </c>
      <c r="V195" s="395">
        <v>1224629.7318720371</v>
      </c>
      <c r="W195" s="408">
        <v>12040.382900214225</v>
      </c>
      <c r="X195" s="177"/>
      <c r="Y195" s="177"/>
      <c r="Z195" s="15"/>
    </row>
    <row r="196" spans="1:26" x14ac:dyDescent="0.25">
      <c r="A196" s="108">
        <v>5723</v>
      </c>
      <c r="B196" s="116" t="s">
        <v>286</v>
      </c>
      <c r="C196" s="392">
        <v>7708590.1984740291</v>
      </c>
      <c r="D196" s="392">
        <v>0</v>
      </c>
      <c r="E196" s="393">
        <v>311529.28080490319</v>
      </c>
      <c r="F196" s="389">
        <v>8020119.4792789323</v>
      </c>
      <c r="G196" s="392">
        <v>0</v>
      </c>
      <c r="H196" s="392">
        <v>0</v>
      </c>
      <c r="I196" s="392">
        <v>0</v>
      </c>
      <c r="J196" s="394">
        <v>0</v>
      </c>
      <c r="K196" s="392">
        <v>716372.76557875436</v>
      </c>
      <c r="L196" s="392">
        <v>253266.63512152745</v>
      </c>
      <c r="M196" s="15">
        <v>969639.40070028184</v>
      </c>
      <c r="N196" s="389">
        <v>0</v>
      </c>
      <c r="P196" s="715">
        <v>8989758.8799792137</v>
      </c>
      <c r="Q196" s="716"/>
      <c r="R196" s="716"/>
      <c r="S196" s="717"/>
      <c r="T196" s="389">
        <v>2106930.0845370982</v>
      </c>
      <c r="U196" s="390">
        <v>350231.75786223542</v>
      </c>
      <c r="V196" s="395">
        <v>11446920.722378548</v>
      </c>
      <c r="W196" s="408">
        <v>66682.834888686426</v>
      </c>
      <c r="X196" s="177"/>
      <c r="Y196" s="177"/>
      <c r="Z196" s="15"/>
    </row>
    <row r="197" spans="1:26" x14ac:dyDescent="0.25">
      <c r="A197" s="108">
        <v>5724</v>
      </c>
      <c r="B197" s="116" t="s">
        <v>68</v>
      </c>
      <c r="C197" s="392">
        <v>28674619.061500341</v>
      </c>
      <c r="D197" s="392">
        <v>0</v>
      </c>
      <c r="E197" s="393">
        <v>3846040.9693920156</v>
      </c>
      <c r="F197" s="389">
        <v>32520660.030892357</v>
      </c>
      <c r="G197" s="392">
        <v>0</v>
      </c>
      <c r="H197" s="392">
        <v>0</v>
      </c>
      <c r="I197" s="392">
        <v>0</v>
      </c>
      <c r="J197" s="394">
        <v>0</v>
      </c>
      <c r="K197" s="392">
        <v>-5341999.440265432</v>
      </c>
      <c r="L197" s="392">
        <v>242765.93174687121</v>
      </c>
      <c r="M197" s="15">
        <v>-5099233.5085185608</v>
      </c>
      <c r="N197" s="389">
        <v>0</v>
      </c>
      <c r="P197" s="715">
        <v>27421426.522373796</v>
      </c>
      <c r="Q197" s="716"/>
      <c r="R197" s="716"/>
      <c r="S197" s="717"/>
      <c r="T197" s="389">
        <v>22299880.001148526</v>
      </c>
      <c r="U197" s="390">
        <v>705775.30173755728</v>
      </c>
      <c r="V197" s="395">
        <v>50427081.825259872</v>
      </c>
      <c r="W197" s="408">
        <v>705775.30173755728</v>
      </c>
      <c r="X197" s="177"/>
      <c r="Y197" s="177"/>
      <c r="Z197" s="15"/>
    </row>
    <row r="198" spans="1:26" x14ac:dyDescent="0.25">
      <c r="A198" s="108">
        <v>5725</v>
      </c>
      <c r="B198" s="116" t="s">
        <v>287</v>
      </c>
      <c r="C198" s="392">
        <v>6944545.0654577641</v>
      </c>
      <c r="D198" s="392">
        <v>0</v>
      </c>
      <c r="E198" s="393">
        <v>266015.99198213057</v>
      </c>
      <c r="F198" s="389">
        <v>7210561.0574398944</v>
      </c>
      <c r="G198" s="392">
        <v>0</v>
      </c>
      <c r="H198" s="392">
        <v>0</v>
      </c>
      <c r="I198" s="392">
        <v>0</v>
      </c>
      <c r="J198" s="394">
        <v>0</v>
      </c>
      <c r="K198" s="392">
        <v>805868.65554192499</v>
      </c>
      <c r="L198" s="392">
        <v>-237512.95031753869</v>
      </c>
      <c r="M198" s="15">
        <v>568355.7052243863</v>
      </c>
      <c r="N198" s="389">
        <v>0</v>
      </c>
      <c r="P198" s="715">
        <v>7778916.7626642808</v>
      </c>
      <c r="Q198" s="716"/>
      <c r="R198" s="716"/>
      <c r="S198" s="717"/>
      <c r="T198" s="389">
        <v>4157571.8480685996</v>
      </c>
      <c r="U198" s="390">
        <v>131584.18455234118</v>
      </c>
      <c r="V198" s="395">
        <v>12068072.795285221</v>
      </c>
      <c r="W198" s="408">
        <v>131584.18455234118</v>
      </c>
      <c r="X198" s="177"/>
      <c r="Y198" s="177"/>
      <c r="Z198" s="15"/>
    </row>
    <row r="199" spans="1:26" x14ac:dyDescent="0.25">
      <c r="A199" s="108">
        <v>5726</v>
      </c>
      <c r="B199" s="116" t="s">
        <v>288</v>
      </c>
      <c r="C199" s="392">
        <v>654811.97330083756</v>
      </c>
      <c r="D199" s="392">
        <v>0</v>
      </c>
      <c r="E199" s="393">
        <v>-163319.02101763553</v>
      </c>
      <c r="F199" s="389">
        <v>491492.95228320203</v>
      </c>
      <c r="G199" s="392">
        <v>-74377</v>
      </c>
      <c r="H199" s="392">
        <v>0</v>
      </c>
      <c r="I199" s="392">
        <v>0</v>
      </c>
      <c r="J199" s="394">
        <v>-74377</v>
      </c>
      <c r="K199" s="392">
        <v>504191.89304392604</v>
      </c>
      <c r="L199" s="392">
        <v>140690.72407027273</v>
      </c>
      <c r="M199" s="15">
        <v>644882.61711419874</v>
      </c>
      <c r="N199" s="389">
        <v>0</v>
      </c>
      <c r="P199" s="715">
        <v>1061998.5693974008</v>
      </c>
      <c r="Q199" s="716"/>
      <c r="R199" s="716"/>
      <c r="S199" s="717"/>
      <c r="T199" s="389">
        <v>1170408.8815991436</v>
      </c>
      <c r="U199" s="390">
        <v>183424.35145075049</v>
      </c>
      <c r="V199" s="395">
        <v>2415831.8024472948</v>
      </c>
      <c r="W199" s="408">
        <v>37042.606575659069</v>
      </c>
      <c r="X199" s="177"/>
      <c r="Y199" s="177"/>
      <c r="Z199" s="15"/>
    </row>
    <row r="200" spans="1:26" x14ac:dyDescent="0.25">
      <c r="A200" s="108">
        <v>5727</v>
      </c>
      <c r="B200" s="116" t="s">
        <v>289</v>
      </c>
      <c r="C200" s="392">
        <v>-1819587.8208834419</v>
      </c>
      <c r="D200" s="392">
        <v>0</v>
      </c>
      <c r="E200" s="393">
        <v>300012.66731556784</v>
      </c>
      <c r="F200" s="389">
        <v>-1519575.1535678741</v>
      </c>
      <c r="G200" s="392">
        <v>-13385</v>
      </c>
      <c r="H200" s="392">
        <v>-460010</v>
      </c>
      <c r="I200" s="392">
        <v>0</v>
      </c>
      <c r="J200" s="394">
        <v>-473395</v>
      </c>
      <c r="K200" s="392">
        <v>880180.79670667846</v>
      </c>
      <c r="L200" s="392">
        <v>340177.57163259975</v>
      </c>
      <c r="M200" s="15">
        <v>1220358.3683392783</v>
      </c>
      <c r="N200" s="389">
        <v>0</v>
      </c>
      <c r="P200" s="715">
        <v>-772611.78522859584</v>
      </c>
      <c r="Q200" s="716"/>
      <c r="R200" s="716"/>
      <c r="S200" s="717"/>
      <c r="T200" s="389">
        <v>2829943.8629710637</v>
      </c>
      <c r="U200" s="390">
        <v>479010.53276022122</v>
      </c>
      <c r="V200" s="395">
        <v>2536342.6105026891</v>
      </c>
      <c r="W200" s="408">
        <v>89565.70545159356</v>
      </c>
      <c r="X200" s="177"/>
      <c r="Y200" s="177"/>
      <c r="Z200" s="15"/>
    </row>
    <row r="201" spans="1:26" x14ac:dyDescent="0.25">
      <c r="A201" s="108">
        <v>5728</v>
      </c>
      <c r="B201" s="116" t="s">
        <v>290</v>
      </c>
      <c r="C201" s="392">
        <v>1340222.7047714754</v>
      </c>
      <c r="D201" s="392">
        <v>0</v>
      </c>
      <c r="E201" s="393">
        <v>-7313.1309591103927</v>
      </c>
      <c r="F201" s="389">
        <v>1332909.5738123651</v>
      </c>
      <c r="G201" s="392">
        <v>0</v>
      </c>
      <c r="H201" s="392">
        <v>0</v>
      </c>
      <c r="I201" s="392">
        <v>0</v>
      </c>
      <c r="J201" s="394">
        <v>0</v>
      </c>
      <c r="K201" s="392">
        <v>278091.77795792714</v>
      </c>
      <c r="L201" s="392">
        <v>70695.338960684297</v>
      </c>
      <c r="M201" s="15">
        <v>348787.11691861146</v>
      </c>
      <c r="N201" s="389">
        <v>0</v>
      </c>
      <c r="P201" s="715">
        <v>1681696.6907309764</v>
      </c>
      <c r="Q201" s="716"/>
      <c r="R201" s="716"/>
      <c r="S201" s="717"/>
      <c r="T201" s="389">
        <v>588115.90567917167</v>
      </c>
      <c r="U201" s="390">
        <v>89576.328599067594</v>
      </c>
      <c r="V201" s="395">
        <v>2359388.9250092153</v>
      </c>
      <c r="W201" s="408">
        <v>18613.449075331173</v>
      </c>
      <c r="X201" s="177"/>
      <c r="Y201" s="177"/>
      <c r="Z201" s="15"/>
    </row>
    <row r="202" spans="1:26" x14ac:dyDescent="0.25">
      <c r="A202" s="108">
        <v>5729</v>
      </c>
      <c r="B202" s="116" t="s">
        <v>291</v>
      </c>
      <c r="C202" s="392">
        <v>6265583.2458618777</v>
      </c>
      <c r="D202" s="392">
        <v>0</v>
      </c>
      <c r="E202" s="393">
        <v>100962.2542493823</v>
      </c>
      <c r="F202" s="389">
        <v>6366545.5001112595</v>
      </c>
      <c r="G202" s="392">
        <v>0</v>
      </c>
      <c r="H202" s="392">
        <v>0</v>
      </c>
      <c r="I202" s="392">
        <v>0</v>
      </c>
      <c r="J202" s="394">
        <v>0</v>
      </c>
      <c r="K202" s="392">
        <v>616109.0579353536</v>
      </c>
      <c r="L202" s="392">
        <v>200070.14243824023</v>
      </c>
      <c r="M202" s="15">
        <v>816179.20037359383</v>
      </c>
      <c r="N202" s="389">
        <v>0</v>
      </c>
      <c r="P202" s="715">
        <v>7182724.7004848532</v>
      </c>
      <c r="Q202" s="716"/>
      <c r="R202" s="716"/>
      <c r="S202" s="717"/>
      <c r="T202" s="389">
        <v>1664387.4228379198</v>
      </c>
      <c r="U202" s="390">
        <v>271408.77617970994</v>
      </c>
      <c r="V202" s="395">
        <v>9118520.8995024841</v>
      </c>
      <c r="W202" s="408">
        <v>52676.675188437228</v>
      </c>
      <c r="X202" s="177"/>
      <c r="Y202" s="177"/>
      <c r="Z202" s="15"/>
    </row>
    <row r="203" spans="1:26" x14ac:dyDescent="0.25">
      <c r="A203" s="108">
        <v>5730</v>
      </c>
      <c r="B203" s="116" t="s">
        <v>292</v>
      </c>
      <c r="C203" s="392">
        <v>4017352.1518213474</v>
      </c>
      <c r="D203" s="392">
        <v>0</v>
      </c>
      <c r="E203" s="393">
        <v>-28276.303857809806</v>
      </c>
      <c r="F203" s="389">
        <v>3989075.8479635376</v>
      </c>
      <c r="G203" s="392">
        <v>0</v>
      </c>
      <c r="H203" s="392">
        <v>0</v>
      </c>
      <c r="I203" s="392">
        <v>0</v>
      </c>
      <c r="J203" s="394">
        <v>0</v>
      </c>
      <c r="K203" s="392">
        <v>557182.14203967061</v>
      </c>
      <c r="L203" s="392">
        <v>168805.53708929074</v>
      </c>
      <c r="M203" s="15">
        <v>725987.6791289614</v>
      </c>
      <c r="N203" s="389">
        <v>-14300</v>
      </c>
      <c r="P203" s="715">
        <v>4700763.5270924987</v>
      </c>
      <c r="Q203" s="716"/>
      <c r="R203" s="716"/>
      <c r="S203" s="717"/>
      <c r="T203" s="389">
        <v>1404296.5602603322</v>
      </c>
      <c r="U203" s="390">
        <v>225082.98869962909</v>
      </c>
      <c r="V203" s="395">
        <v>6330143.0760524599</v>
      </c>
      <c r="W203" s="408">
        <v>44444.984838290773</v>
      </c>
      <c r="X203" s="177"/>
      <c r="Y203" s="177"/>
      <c r="Z203" s="15"/>
    </row>
    <row r="204" spans="1:26" x14ac:dyDescent="0.25">
      <c r="A204" s="108">
        <v>5731</v>
      </c>
      <c r="B204" s="116" t="s">
        <v>293</v>
      </c>
      <c r="C204" s="392">
        <v>133939.68658627765</v>
      </c>
      <c r="D204" s="392">
        <v>0</v>
      </c>
      <c r="E204" s="393">
        <v>-109328.35208782673</v>
      </c>
      <c r="F204" s="389">
        <v>24611.334498450917</v>
      </c>
      <c r="G204" s="392">
        <v>0</v>
      </c>
      <c r="H204" s="392">
        <v>-111059</v>
      </c>
      <c r="I204" s="392">
        <v>0</v>
      </c>
      <c r="J204" s="394">
        <v>-111059</v>
      </c>
      <c r="K204" s="392">
        <v>549706.33927678561</v>
      </c>
      <c r="L204" s="392">
        <v>164839.13193308073</v>
      </c>
      <c r="M204" s="15">
        <v>714545.47120986634</v>
      </c>
      <c r="N204" s="389">
        <v>0</v>
      </c>
      <c r="P204" s="715">
        <v>628097.80570831732</v>
      </c>
      <c r="Q204" s="716"/>
      <c r="R204" s="716"/>
      <c r="S204" s="717"/>
      <c r="T204" s="389">
        <v>1371299.9582915339</v>
      </c>
      <c r="U204" s="390">
        <v>219205.83655663379</v>
      </c>
      <c r="V204" s="395">
        <v>2218603.6005564849</v>
      </c>
      <c r="W204" s="408">
        <v>43400.665913272191</v>
      </c>
      <c r="X204" s="177"/>
      <c r="Y204" s="177"/>
      <c r="Z204" s="15"/>
    </row>
    <row r="205" spans="1:26" x14ac:dyDescent="0.25">
      <c r="A205" s="108">
        <v>5732</v>
      </c>
      <c r="B205" s="116" t="s">
        <v>294</v>
      </c>
      <c r="C205" s="392">
        <v>1420079.7959573739</v>
      </c>
      <c r="D205" s="392">
        <v>0</v>
      </c>
      <c r="E205" s="393">
        <v>-22168.142881180829</v>
      </c>
      <c r="F205" s="389">
        <v>1397911.6530761931</v>
      </c>
      <c r="G205" s="392">
        <v>0</v>
      </c>
      <c r="H205" s="392">
        <v>0</v>
      </c>
      <c r="I205" s="392">
        <v>-5940</v>
      </c>
      <c r="J205" s="394">
        <v>-5940</v>
      </c>
      <c r="K205" s="392">
        <v>497155.84338474</v>
      </c>
      <c r="L205" s="392">
        <v>136957.636864428</v>
      </c>
      <c r="M205" s="15">
        <v>634113.480249168</v>
      </c>
      <c r="N205" s="389">
        <v>0</v>
      </c>
      <c r="P205" s="715">
        <v>2026085.1333253612</v>
      </c>
      <c r="Q205" s="716"/>
      <c r="R205" s="716"/>
      <c r="S205" s="717"/>
      <c r="T205" s="389">
        <v>1139353.2562167451</v>
      </c>
      <c r="U205" s="390">
        <v>177892.91413969605</v>
      </c>
      <c r="V205" s="395">
        <v>3343331.3036818025</v>
      </c>
      <c r="W205" s="408">
        <v>36059.718175641581</v>
      </c>
      <c r="X205" s="177"/>
      <c r="Y205" s="177"/>
      <c r="Z205" s="15"/>
    </row>
    <row r="206" spans="1:26" x14ac:dyDescent="0.25">
      <c r="A206" s="108">
        <v>5741</v>
      </c>
      <c r="B206" s="116" t="s">
        <v>295</v>
      </c>
      <c r="C206" s="392">
        <v>-255078.05755420454</v>
      </c>
      <c r="D206" s="392">
        <v>0</v>
      </c>
      <c r="E206" s="393">
        <v>-34427.181892807901</v>
      </c>
      <c r="F206" s="389">
        <v>-289505.23944701243</v>
      </c>
      <c r="G206" s="392">
        <v>-39392</v>
      </c>
      <c r="H206" s="392">
        <v>-4588</v>
      </c>
      <c r="I206" s="392">
        <v>0</v>
      </c>
      <c r="J206" s="394">
        <v>-43980</v>
      </c>
      <c r="K206" s="392">
        <v>122984.48266126151</v>
      </c>
      <c r="L206" s="392">
        <v>31264.605348949495</v>
      </c>
      <c r="M206" s="15">
        <v>154249.08801021101</v>
      </c>
      <c r="N206" s="389">
        <v>-15300</v>
      </c>
      <c r="P206" s="715">
        <v>-194536.15143680142</v>
      </c>
      <c r="Q206" s="716"/>
      <c r="R206" s="716"/>
      <c r="S206" s="717"/>
      <c r="T206" s="389">
        <v>260090.86257758745</v>
      </c>
      <c r="U206" s="390">
        <v>39614.613967904479</v>
      </c>
      <c r="V206" s="395">
        <v>105169.32510869051</v>
      </c>
      <c r="W206" s="408">
        <v>8231.6903501464603</v>
      </c>
      <c r="X206" s="177"/>
      <c r="Y206" s="177"/>
      <c r="Z206" s="15"/>
    </row>
    <row r="207" spans="1:26" x14ac:dyDescent="0.25">
      <c r="A207" s="108">
        <v>5742</v>
      </c>
      <c r="B207" s="116" t="s">
        <v>296</v>
      </c>
      <c r="C207" s="392">
        <v>-503714.69978972181</v>
      </c>
      <c r="D207" s="392">
        <v>0</v>
      </c>
      <c r="E207" s="393">
        <v>-68247.350820691892</v>
      </c>
      <c r="F207" s="389">
        <v>-571962.05061041366</v>
      </c>
      <c r="G207" s="392">
        <v>-25773</v>
      </c>
      <c r="H207" s="392">
        <v>0</v>
      </c>
      <c r="I207" s="392">
        <v>-53566</v>
      </c>
      <c r="J207" s="394">
        <v>-79339</v>
      </c>
      <c r="K207" s="392">
        <v>175757.67484799685</v>
      </c>
      <c r="L207" s="392">
        <v>44680.387494953939</v>
      </c>
      <c r="M207" s="15">
        <v>220438.06234295078</v>
      </c>
      <c r="N207" s="389">
        <v>0</v>
      </c>
      <c r="P207" s="715">
        <v>-430862.98826746288</v>
      </c>
      <c r="Q207" s="716"/>
      <c r="R207" s="716"/>
      <c r="S207" s="717"/>
      <c r="T207" s="389">
        <v>371697.01629558206</v>
      </c>
      <c r="U207" s="390">
        <v>56613.422200400804</v>
      </c>
      <c r="V207" s="395">
        <v>-2552.5497714800149</v>
      </c>
      <c r="W207" s="408">
        <v>11763.945537709305</v>
      </c>
      <c r="X207" s="177"/>
      <c r="Y207" s="177"/>
      <c r="Z207" s="15"/>
    </row>
    <row r="208" spans="1:26" x14ac:dyDescent="0.25">
      <c r="A208" s="108">
        <v>5743</v>
      </c>
      <c r="B208" s="116" t="s">
        <v>297</v>
      </c>
      <c r="C208" s="392">
        <v>-702066.25308886042</v>
      </c>
      <c r="D208" s="392">
        <v>0</v>
      </c>
      <c r="E208" s="393">
        <v>-17333.165881141846</v>
      </c>
      <c r="F208" s="389">
        <v>-719399.41897000233</v>
      </c>
      <c r="G208" s="392">
        <v>-25239</v>
      </c>
      <c r="H208" s="392">
        <v>0</v>
      </c>
      <c r="I208" s="392">
        <v>0</v>
      </c>
      <c r="J208" s="394">
        <v>-25239</v>
      </c>
      <c r="K208" s="392">
        <v>303331.1307428875</v>
      </c>
      <c r="L208" s="392">
        <v>77111.582595729909</v>
      </c>
      <c r="M208" s="15">
        <v>380442.71333861741</v>
      </c>
      <c r="N208" s="389">
        <v>0</v>
      </c>
      <c r="P208" s="715">
        <v>-364195.70563138492</v>
      </c>
      <c r="Q208" s="716"/>
      <c r="R208" s="716"/>
      <c r="S208" s="717"/>
      <c r="T208" s="389">
        <v>641492.76180516905</v>
      </c>
      <c r="U208" s="390">
        <v>97706.193405913655</v>
      </c>
      <c r="V208" s="395">
        <v>375003.24957969779</v>
      </c>
      <c r="W208" s="408">
        <v>20302.788512861229</v>
      </c>
      <c r="X208" s="177"/>
      <c r="Y208" s="177"/>
      <c r="Z208" s="15"/>
    </row>
    <row r="209" spans="1:26" x14ac:dyDescent="0.25">
      <c r="A209" s="108">
        <v>5744</v>
      </c>
      <c r="B209" s="116" t="s">
        <v>298</v>
      </c>
      <c r="C209" s="392">
        <v>161069.33824250326</v>
      </c>
      <c r="D209" s="392">
        <v>0</v>
      </c>
      <c r="E209" s="393">
        <v>317421.04760029912</v>
      </c>
      <c r="F209" s="389">
        <v>478490.38584280235</v>
      </c>
      <c r="G209" s="392">
        <v>0</v>
      </c>
      <c r="H209" s="392">
        <v>-166592</v>
      </c>
      <c r="I209" s="392">
        <v>0</v>
      </c>
      <c r="J209" s="394">
        <v>-166592</v>
      </c>
      <c r="K209" s="392">
        <v>501333.49786988168</v>
      </c>
      <c r="L209" s="392">
        <v>139174.15739289831</v>
      </c>
      <c r="M209" s="15">
        <v>640507.65526278003</v>
      </c>
      <c r="N209" s="389">
        <v>-49300</v>
      </c>
      <c r="P209" s="715">
        <v>903106.04110558238</v>
      </c>
      <c r="Q209" s="716"/>
      <c r="R209" s="716"/>
      <c r="S209" s="717"/>
      <c r="T209" s="389">
        <v>1157792.5337875441</v>
      </c>
      <c r="U209" s="390">
        <v>181177.2050431346</v>
      </c>
      <c r="V209" s="395">
        <v>2242075.779936261</v>
      </c>
      <c r="W209" s="408">
        <v>36643.30816315196</v>
      </c>
      <c r="X209" s="177"/>
      <c r="Y209" s="177"/>
      <c r="Z209" s="15"/>
    </row>
    <row r="210" spans="1:26" x14ac:dyDescent="0.25">
      <c r="A210" s="108">
        <v>5745</v>
      </c>
      <c r="B210" s="116" t="s">
        <v>299</v>
      </c>
      <c r="C210" s="392">
        <v>-1420992.2578495173</v>
      </c>
      <c r="D210" s="392">
        <v>0</v>
      </c>
      <c r="E210" s="393">
        <v>-135546.22201178301</v>
      </c>
      <c r="F210" s="389">
        <v>-1556538.4798613002</v>
      </c>
      <c r="G210" s="392">
        <v>-141309</v>
      </c>
      <c r="H210" s="392">
        <v>0</v>
      </c>
      <c r="I210" s="392">
        <v>0</v>
      </c>
      <c r="J210" s="394">
        <v>-141309</v>
      </c>
      <c r="K210" s="392">
        <v>490999.29993295227</v>
      </c>
      <c r="L210" s="392">
        <v>133691.18555931389</v>
      </c>
      <c r="M210" s="15">
        <v>624690.48549226613</v>
      </c>
      <c r="N210" s="389">
        <v>-192100</v>
      </c>
      <c r="P210" s="715">
        <v>-1265256.9943690342</v>
      </c>
      <c r="Q210" s="716"/>
      <c r="R210" s="716"/>
      <c r="S210" s="717"/>
      <c r="T210" s="389">
        <v>1112179.5840071463</v>
      </c>
      <c r="U210" s="390">
        <v>173052.90649252344</v>
      </c>
      <c r="V210" s="395">
        <v>19975.496130635554</v>
      </c>
      <c r="W210" s="408">
        <v>35199.690825626276</v>
      </c>
      <c r="X210" s="177"/>
      <c r="Y210" s="177"/>
      <c r="Z210" s="15"/>
    </row>
    <row r="211" spans="1:26" x14ac:dyDescent="0.25">
      <c r="A211" s="108">
        <v>5746</v>
      </c>
      <c r="B211" s="116" t="s">
        <v>300</v>
      </c>
      <c r="C211" s="392">
        <v>-886731.91946625593</v>
      </c>
      <c r="D211" s="392">
        <v>0</v>
      </c>
      <c r="E211" s="393">
        <v>-91230.703984484266</v>
      </c>
      <c r="F211" s="389">
        <v>-977962.62345074024</v>
      </c>
      <c r="G211" s="392">
        <v>-11652</v>
      </c>
      <c r="H211" s="392">
        <v>0</v>
      </c>
      <c r="I211" s="392">
        <v>0</v>
      </c>
      <c r="J211" s="394">
        <v>-11652</v>
      </c>
      <c r="K211" s="392">
        <v>467032.7557813499</v>
      </c>
      <c r="L211" s="392">
        <v>120975.35726440532</v>
      </c>
      <c r="M211" s="15">
        <v>588008.11304575519</v>
      </c>
      <c r="N211" s="389">
        <v>-87800</v>
      </c>
      <c r="P211" s="715">
        <v>-489406.51040498505</v>
      </c>
      <c r="Q211" s="716"/>
      <c r="R211" s="716"/>
      <c r="S211" s="717"/>
      <c r="T211" s="389">
        <v>1006396.3600483515</v>
      </c>
      <c r="U211" s="390">
        <v>154211.44815174429</v>
      </c>
      <c r="V211" s="395">
        <v>671201.29779511073</v>
      </c>
      <c r="W211" s="408">
        <v>31851.727213066712</v>
      </c>
      <c r="X211" s="177"/>
      <c r="Y211" s="177"/>
      <c r="Z211" s="15"/>
    </row>
    <row r="212" spans="1:26" x14ac:dyDescent="0.25">
      <c r="A212" s="108">
        <v>5747</v>
      </c>
      <c r="B212" s="116" t="s">
        <v>301</v>
      </c>
      <c r="C212" s="392">
        <v>-170908.24517488459</v>
      </c>
      <c r="D212" s="392">
        <v>0</v>
      </c>
      <c r="E212" s="393">
        <v>-16141.672452256462</v>
      </c>
      <c r="F212" s="389">
        <v>-187049.91762714105</v>
      </c>
      <c r="G212" s="392">
        <v>-28029</v>
      </c>
      <c r="H212" s="392">
        <v>0</v>
      </c>
      <c r="I212" s="392">
        <v>-19168</v>
      </c>
      <c r="J212" s="394">
        <v>-47197</v>
      </c>
      <c r="K212" s="392">
        <v>89026.080732405724</v>
      </c>
      <c r="L212" s="392">
        <v>22631.84118543359</v>
      </c>
      <c r="M212" s="15">
        <v>111657.92191783931</v>
      </c>
      <c r="N212" s="389">
        <v>0</v>
      </c>
      <c r="P212" s="715">
        <v>-122588.99570930174</v>
      </c>
      <c r="Q212" s="716"/>
      <c r="R212" s="716"/>
      <c r="S212" s="717"/>
      <c r="T212" s="389">
        <v>188274.72888079094</v>
      </c>
      <c r="U212" s="390">
        <v>28676.250409602493</v>
      </c>
      <c r="V212" s="395">
        <v>94361.983581091685</v>
      </c>
      <c r="W212" s="408">
        <v>5958.7609251060194</v>
      </c>
      <c r="X212" s="177"/>
      <c r="Y212" s="177"/>
      <c r="Z212" s="15"/>
    </row>
    <row r="213" spans="1:26" x14ac:dyDescent="0.25">
      <c r="A213" s="108">
        <v>5748</v>
      </c>
      <c r="B213" s="116" t="s">
        <v>302</v>
      </c>
      <c r="C213" s="392">
        <v>-310960.04826939286</v>
      </c>
      <c r="D213" s="392">
        <v>0</v>
      </c>
      <c r="E213" s="393">
        <v>-35930.095541930023</v>
      </c>
      <c r="F213" s="389">
        <v>-346890.14381132287</v>
      </c>
      <c r="G213" s="392">
        <v>-36636</v>
      </c>
      <c r="H213" s="392">
        <v>-76</v>
      </c>
      <c r="I213" s="392">
        <v>-49797</v>
      </c>
      <c r="J213" s="394">
        <v>-86509</v>
      </c>
      <c r="K213" s="392">
        <v>118854.40675099526</v>
      </c>
      <c r="L213" s="392">
        <v>30214.674572305667</v>
      </c>
      <c r="M213" s="15">
        <v>149069.08132330092</v>
      </c>
      <c r="N213" s="389">
        <v>0</v>
      </c>
      <c r="P213" s="715">
        <v>-284330.06248802191</v>
      </c>
      <c r="Q213" s="716"/>
      <c r="R213" s="716"/>
      <c r="S213" s="717"/>
      <c r="T213" s="389">
        <v>251356.46793878789</v>
      </c>
      <c r="U213" s="390">
        <v>38284.27245405694</v>
      </c>
      <c r="V213" s="395">
        <v>5310.6779048229146</v>
      </c>
      <c r="W213" s="408">
        <v>7955.252987641541</v>
      </c>
      <c r="X213" s="177"/>
      <c r="Y213" s="177"/>
      <c r="Z213" s="15"/>
    </row>
    <row r="214" spans="1:26" x14ac:dyDescent="0.25">
      <c r="A214" s="108">
        <v>5749</v>
      </c>
      <c r="B214" s="116" t="s">
        <v>303</v>
      </c>
      <c r="C214" s="392">
        <v>-6147800.9225345617</v>
      </c>
      <c r="D214" s="392">
        <v>0</v>
      </c>
      <c r="E214" s="393">
        <v>-207861.197312303</v>
      </c>
      <c r="F214" s="389">
        <v>-6355662.1198468646</v>
      </c>
      <c r="G214" s="392">
        <v>0</v>
      </c>
      <c r="H214" s="392">
        <v>0</v>
      </c>
      <c r="I214" s="392">
        <v>-26936</v>
      </c>
      <c r="J214" s="394">
        <v>-26936</v>
      </c>
      <c r="K214" s="392">
        <v>723564.57628848823</v>
      </c>
      <c r="L214" s="392">
        <v>632641.62241549662</v>
      </c>
      <c r="M214" s="15">
        <v>1356206.1987039847</v>
      </c>
      <c r="N214" s="389">
        <v>0</v>
      </c>
      <c r="P214" s="715">
        <v>-5026391.9211428799</v>
      </c>
      <c r="Q214" s="716"/>
      <c r="R214" s="716"/>
      <c r="S214" s="717"/>
      <c r="T214" s="389">
        <v>5262958.0140233459</v>
      </c>
      <c r="U214" s="390">
        <v>947998.40261242073</v>
      </c>
      <c r="V214" s="395">
        <v>1184564.4954928868</v>
      </c>
      <c r="W214" s="408">
        <v>166568.86854046362</v>
      </c>
      <c r="X214" s="177"/>
      <c r="Y214" s="177"/>
      <c r="Z214" s="15"/>
    </row>
    <row r="215" spans="1:26" x14ac:dyDescent="0.25">
      <c r="A215" s="108">
        <v>5750</v>
      </c>
      <c r="B215" s="116" t="s">
        <v>304</v>
      </c>
      <c r="C215" s="392">
        <v>-215703.01645923592</v>
      </c>
      <c r="D215" s="392">
        <v>0</v>
      </c>
      <c r="E215" s="393">
        <v>-34046.208818728046</v>
      </c>
      <c r="F215" s="389">
        <v>-249749.22527796397</v>
      </c>
      <c r="G215" s="392">
        <v>-57515</v>
      </c>
      <c r="H215" s="392">
        <v>0</v>
      </c>
      <c r="I215" s="392">
        <v>0</v>
      </c>
      <c r="J215" s="394">
        <v>-57515</v>
      </c>
      <c r="K215" s="392">
        <v>88108.286085679894</v>
      </c>
      <c r="L215" s="392">
        <v>22398.523235068293</v>
      </c>
      <c r="M215" s="15">
        <v>110506.80932074819</v>
      </c>
      <c r="N215" s="389">
        <v>0</v>
      </c>
      <c r="P215" s="715">
        <v>-196757.41595721577</v>
      </c>
      <c r="Q215" s="716"/>
      <c r="R215" s="716"/>
      <c r="S215" s="717"/>
      <c r="T215" s="389">
        <v>186333.75229439102</v>
      </c>
      <c r="U215" s="390">
        <v>28380.618962080822</v>
      </c>
      <c r="V215" s="395">
        <v>17956.955299256071</v>
      </c>
      <c r="W215" s="408">
        <v>5897.3304001049264</v>
      </c>
      <c r="X215" s="177"/>
      <c r="Y215" s="177"/>
      <c r="Z215" s="15"/>
    </row>
    <row r="216" spans="1:26" x14ac:dyDescent="0.25">
      <c r="A216" s="108">
        <v>5752</v>
      </c>
      <c r="B216" s="116" t="s">
        <v>305</v>
      </c>
      <c r="C216" s="392">
        <v>-507399.98571985029</v>
      </c>
      <c r="D216" s="392">
        <v>0</v>
      </c>
      <c r="E216" s="393">
        <v>53404.198744609195</v>
      </c>
      <c r="F216" s="389">
        <v>-453995.78697524109</v>
      </c>
      <c r="G216" s="392">
        <v>-14834</v>
      </c>
      <c r="H216" s="392">
        <v>0</v>
      </c>
      <c r="I216" s="392">
        <v>0</v>
      </c>
      <c r="J216" s="394">
        <v>-14834</v>
      </c>
      <c r="K216" s="392">
        <v>182182.23737507768</v>
      </c>
      <c r="L216" s="392">
        <v>46313.613147511001</v>
      </c>
      <c r="M216" s="15">
        <v>228495.85052258868</v>
      </c>
      <c r="N216" s="389">
        <v>-94500</v>
      </c>
      <c r="P216" s="715">
        <v>-334833.93645265244</v>
      </c>
      <c r="Q216" s="716"/>
      <c r="R216" s="716"/>
      <c r="S216" s="717"/>
      <c r="T216" s="389">
        <v>385283.85240038141</v>
      </c>
      <c r="U216" s="390">
        <v>58682.84233305254</v>
      </c>
      <c r="V216" s="395">
        <v>109132.75828078151</v>
      </c>
      <c r="W216" s="408">
        <v>12193.959212716956</v>
      </c>
      <c r="X216" s="177"/>
      <c r="Y216" s="177"/>
      <c r="Z216" s="15"/>
    </row>
    <row r="217" spans="1:26" x14ac:dyDescent="0.25">
      <c r="A217" s="108">
        <v>5754</v>
      </c>
      <c r="B217" s="116" t="s">
        <v>306</v>
      </c>
      <c r="C217" s="392">
        <v>-441224.81718197791</v>
      </c>
      <c r="D217" s="392">
        <v>0</v>
      </c>
      <c r="E217" s="393">
        <v>-40139.217684237199</v>
      </c>
      <c r="F217" s="389">
        <v>-481364.03486621508</v>
      </c>
      <c r="G217" s="392">
        <v>-69764</v>
      </c>
      <c r="H217" s="392">
        <v>-31172</v>
      </c>
      <c r="I217" s="392">
        <v>0</v>
      </c>
      <c r="J217" s="394">
        <v>-100936</v>
      </c>
      <c r="K217" s="392">
        <v>161072.96050038355</v>
      </c>
      <c r="L217" s="392">
        <v>40947.300289109226</v>
      </c>
      <c r="M217" s="15">
        <v>202020.26078949278</v>
      </c>
      <c r="N217" s="389">
        <v>0</v>
      </c>
      <c r="P217" s="715">
        <v>-380279.77407672233</v>
      </c>
      <c r="Q217" s="716"/>
      <c r="R217" s="716"/>
      <c r="S217" s="717"/>
      <c r="T217" s="389">
        <v>340641.39091318357</v>
      </c>
      <c r="U217" s="390">
        <v>51883.319040053997</v>
      </c>
      <c r="V217" s="395">
        <v>12244.935876515236</v>
      </c>
      <c r="W217" s="408">
        <v>10781.057137691818</v>
      </c>
      <c r="X217" s="177"/>
      <c r="Y217" s="177"/>
      <c r="Z217" s="15"/>
    </row>
    <row r="218" spans="1:26" x14ac:dyDescent="0.25">
      <c r="A218" s="108">
        <v>5755</v>
      </c>
      <c r="B218" s="116" t="s">
        <v>307</v>
      </c>
      <c r="C218" s="392">
        <v>-610498.39858215104</v>
      </c>
      <c r="D218" s="392">
        <v>-570</v>
      </c>
      <c r="E218" s="393">
        <v>-72088.654345064366</v>
      </c>
      <c r="F218" s="389">
        <v>-683157.05292721535</v>
      </c>
      <c r="G218" s="392">
        <v>-74113</v>
      </c>
      <c r="H218" s="392">
        <v>-69643</v>
      </c>
      <c r="I218" s="392">
        <v>0</v>
      </c>
      <c r="J218" s="394">
        <v>-143756</v>
      </c>
      <c r="K218" s="392">
        <v>212010.56339366722</v>
      </c>
      <c r="L218" s="392">
        <v>53896.446534383082</v>
      </c>
      <c r="M218" s="15">
        <v>265907.00992805033</v>
      </c>
      <c r="N218" s="389">
        <v>-21900</v>
      </c>
      <c r="P218" s="715">
        <v>-582906.04299916502</v>
      </c>
      <c r="Q218" s="716"/>
      <c r="R218" s="716"/>
      <c r="S218" s="717"/>
      <c r="T218" s="389">
        <v>448365.59145837836</v>
      </c>
      <c r="U218" s="390">
        <v>68290.86437750698</v>
      </c>
      <c r="V218" s="395">
        <v>-66249.587163279677</v>
      </c>
      <c r="W218" s="408">
        <v>14190.451275252479</v>
      </c>
      <c r="X218" s="177"/>
      <c r="Y218" s="177"/>
      <c r="Z218" s="15"/>
    </row>
    <row r="219" spans="1:26" x14ac:dyDescent="0.25">
      <c r="A219" s="108">
        <v>5756</v>
      </c>
      <c r="B219" s="116" t="s">
        <v>308</v>
      </c>
      <c r="C219" s="392">
        <v>-343754.36927993607</v>
      </c>
      <c r="D219" s="392">
        <v>0</v>
      </c>
      <c r="E219" s="393">
        <v>-76863.187481519039</v>
      </c>
      <c r="F219" s="389">
        <v>-420617.55676145514</v>
      </c>
      <c r="G219" s="392">
        <v>0</v>
      </c>
      <c r="H219" s="392">
        <v>0</v>
      </c>
      <c r="I219" s="392">
        <v>-2852</v>
      </c>
      <c r="J219" s="394">
        <v>-2852</v>
      </c>
      <c r="K219" s="392">
        <v>226695.27774128056</v>
      </c>
      <c r="L219" s="392">
        <v>57629.533740227802</v>
      </c>
      <c r="M219" s="15">
        <v>284324.81148150837</v>
      </c>
      <c r="N219" s="389">
        <v>0</v>
      </c>
      <c r="P219" s="715">
        <v>-139144.74527994677</v>
      </c>
      <c r="Q219" s="716"/>
      <c r="R219" s="716"/>
      <c r="S219" s="717"/>
      <c r="T219" s="389">
        <v>479421.21684077691</v>
      </c>
      <c r="U219" s="390">
        <v>73020.96753785378</v>
      </c>
      <c r="V219" s="395">
        <v>413297.43909868388</v>
      </c>
      <c r="W219" s="408">
        <v>15173.339675269966</v>
      </c>
      <c r="X219" s="177"/>
      <c r="Y219" s="177"/>
      <c r="Z219" s="15"/>
    </row>
    <row r="220" spans="1:26" x14ac:dyDescent="0.25">
      <c r="A220" s="108">
        <v>5757</v>
      </c>
      <c r="B220" s="116" t="s">
        <v>309</v>
      </c>
      <c r="C220" s="392">
        <v>-8179932.9958892558</v>
      </c>
      <c r="D220" s="392">
        <v>0</v>
      </c>
      <c r="E220" s="393">
        <v>741593.39518653951</v>
      </c>
      <c r="F220" s="389">
        <v>-7438339.600702716</v>
      </c>
      <c r="G220" s="392">
        <v>0</v>
      </c>
      <c r="H220" s="392">
        <v>0</v>
      </c>
      <c r="I220" s="392">
        <v>0</v>
      </c>
      <c r="J220" s="394">
        <v>0</v>
      </c>
      <c r="K220" s="392">
        <v>549851.66450160276</v>
      </c>
      <c r="L220" s="392">
        <v>714518.95875458093</v>
      </c>
      <c r="M220" s="15">
        <v>1264370.6232561837</v>
      </c>
      <c r="N220" s="389">
        <v>-1030500</v>
      </c>
      <c r="P220" s="715">
        <v>-7204468.9774465319</v>
      </c>
      <c r="Q220" s="716"/>
      <c r="R220" s="716"/>
      <c r="S220" s="717"/>
      <c r="T220" s="389">
        <v>7596011.8708760338</v>
      </c>
      <c r="U220" s="390">
        <v>1423747.8586772943</v>
      </c>
      <c r="V220" s="395">
        <v>1815290.7521067963</v>
      </c>
      <c r="W220" s="408">
        <v>240408.35959177738</v>
      </c>
      <c r="X220" s="177"/>
      <c r="Y220" s="177"/>
      <c r="Z220" s="15"/>
    </row>
    <row r="221" spans="1:26" x14ac:dyDescent="0.25">
      <c r="A221" s="108">
        <v>5758</v>
      </c>
      <c r="B221" s="116" t="s">
        <v>310</v>
      </c>
      <c r="C221" s="392">
        <v>-265877.6083562781</v>
      </c>
      <c r="D221" s="392">
        <v>0</v>
      </c>
      <c r="E221" s="393">
        <v>-16821.389253426962</v>
      </c>
      <c r="F221" s="389">
        <v>-282698.99760970508</v>
      </c>
      <c r="G221" s="392">
        <v>-37121</v>
      </c>
      <c r="H221" s="392">
        <v>-26118</v>
      </c>
      <c r="I221" s="392">
        <v>0</v>
      </c>
      <c r="J221" s="394">
        <v>-63239</v>
      </c>
      <c r="K221" s="392">
        <v>94532.848612760703</v>
      </c>
      <c r="L221" s="392">
        <v>24031.748887625359</v>
      </c>
      <c r="M221" s="15">
        <v>118564.59750038607</v>
      </c>
      <c r="N221" s="389">
        <v>0</v>
      </c>
      <c r="P221" s="715">
        <v>-227373.40010931902</v>
      </c>
      <c r="Q221" s="716"/>
      <c r="R221" s="716"/>
      <c r="S221" s="717"/>
      <c r="T221" s="389">
        <v>199920.58839919037</v>
      </c>
      <c r="U221" s="390">
        <v>30450.03909473255</v>
      </c>
      <c r="V221" s="395">
        <v>2997.2273846039025</v>
      </c>
      <c r="W221" s="408">
        <v>6327.3440751125772</v>
      </c>
      <c r="X221" s="177"/>
      <c r="Y221" s="177"/>
      <c r="Z221" s="15"/>
    </row>
    <row r="222" spans="1:26" x14ac:dyDescent="0.25">
      <c r="A222" s="108">
        <v>5759</v>
      </c>
      <c r="B222" s="116" t="s">
        <v>311</v>
      </c>
      <c r="C222" s="392">
        <v>-320170.27379854454</v>
      </c>
      <c r="D222" s="392">
        <v>-3357</v>
      </c>
      <c r="E222" s="393">
        <v>-43427.8083060606</v>
      </c>
      <c r="F222" s="389">
        <v>-366955.08210460516</v>
      </c>
      <c r="G222" s="392">
        <v>-44857</v>
      </c>
      <c r="H222" s="392">
        <v>-28452</v>
      </c>
      <c r="I222" s="392">
        <v>-29430</v>
      </c>
      <c r="J222" s="394">
        <v>-102739</v>
      </c>
      <c r="K222" s="392">
        <v>106923.07634355944</v>
      </c>
      <c r="L222" s="392">
        <v>27181.541217556838</v>
      </c>
      <c r="M222" s="15">
        <v>134104.61756111629</v>
      </c>
      <c r="N222" s="389">
        <v>0</v>
      </c>
      <c r="P222" s="715">
        <v>-335589.46454348887</v>
      </c>
      <c r="Q222" s="716"/>
      <c r="R222" s="716"/>
      <c r="S222" s="717"/>
      <c r="T222" s="389">
        <v>226123.7723155891</v>
      </c>
      <c r="U222" s="390">
        <v>34441.063636275161</v>
      </c>
      <c r="V222" s="395">
        <v>-75024.628591624612</v>
      </c>
      <c r="W222" s="408">
        <v>7156.6561626273324</v>
      </c>
      <c r="X222" s="177"/>
      <c r="Y222" s="177"/>
      <c r="Z222" s="15"/>
    </row>
    <row r="223" spans="1:26" x14ac:dyDescent="0.25">
      <c r="A223" s="108">
        <v>5760</v>
      </c>
      <c r="B223" s="116" t="s">
        <v>312</v>
      </c>
      <c r="C223" s="392">
        <v>-488571.22271911835</v>
      </c>
      <c r="D223" s="392">
        <v>0</v>
      </c>
      <c r="E223" s="393">
        <v>-42107.488801209496</v>
      </c>
      <c r="F223" s="389">
        <v>-530678.71152032784</v>
      </c>
      <c r="G223" s="392">
        <v>-60578</v>
      </c>
      <c r="H223" s="392">
        <v>0</v>
      </c>
      <c r="I223" s="392">
        <v>0</v>
      </c>
      <c r="J223" s="394">
        <v>-60578</v>
      </c>
      <c r="K223" s="392">
        <v>240921.09476553096</v>
      </c>
      <c r="L223" s="392">
        <v>61245.961970889868</v>
      </c>
      <c r="M223" s="15">
        <v>302167.05673642084</v>
      </c>
      <c r="N223" s="389">
        <v>-19400</v>
      </c>
      <c r="P223" s="715">
        <v>-308489.654783907</v>
      </c>
      <c r="Q223" s="716"/>
      <c r="R223" s="716"/>
      <c r="S223" s="717"/>
      <c r="T223" s="389">
        <v>509506.35392997542</v>
      </c>
      <c r="U223" s="390">
        <v>77603.25497443974</v>
      </c>
      <c r="V223" s="395">
        <v>278619.95412050816</v>
      </c>
      <c r="W223" s="408">
        <v>16125.512812786908</v>
      </c>
      <c r="X223" s="177"/>
      <c r="Y223" s="177"/>
      <c r="Z223" s="15"/>
    </row>
    <row r="224" spans="1:26" x14ac:dyDescent="0.25">
      <c r="A224" s="108">
        <v>5761</v>
      </c>
      <c r="B224" s="116" t="s">
        <v>313</v>
      </c>
      <c r="C224" s="392">
        <v>-769761.94642314769</v>
      </c>
      <c r="D224" s="392">
        <v>-3195</v>
      </c>
      <c r="E224" s="393">
        <v>-35253.419639419924</v>
      </c>
      <c r="F224" s="389">
        <v>-808210.36606256757</v>
      </c>
      <c r="G224" s="392">
        <v>-26030</v>
      </c>
      <c r="H224" s="392">
        <v>-1133</v>
      </c>
      <c r="I224" s="392">
        <v>0</v>
      </c>
      <c r="J224" s="394">
        <v>-27163</v>
      </c>
      <c r="K224" s="392">
        <v>263865.96093367669</v>
      </c>
      <c r="L224" s="392">
        <v>67078.910730022239</v>
      </c>
      <c r="M224" s="15">
        <v>330944.87166369893</v>
      </c>
      <c r="N224" s="389">
        <v>-59400</v>
      </c>
      <c r="P224" s="715">
        <v>-563828.49439886864</v>
      </c>
      <c r="Q224" s="716"/>
      <c r="R224" s="716"/>
      <c r="S224" s="717"/>
      <c r="T224" s="389">
        <v>558030.7685899731</v>
      </c>
      <c r="U224" s="390">
        <v>84994.041162481619</v>
      </c>
      <c r="V224" s="395">
        <v>79196.315353586077</v>
      </c>
      <c r="W224" s="408">
        <v>17661.275937814233</v>
      </c>
      <c r="X224" s="177"/>
      <c r="Y224" s="177"/>
      <c r="Z224" s="15"/>
    </row>
    <row r="225" spans="1:26" x14ac:dyDescent="0.25">
      <c r="A225" s="108">
        <v>5762</v>
      </c>
      <c r="B225" s="116" t="s">
        <v>314</v>
      </c>
      <c r="C225" s="392">
        <v>-165540.83822059914</v>
      </c>
      <c r="D225" s="392">
        <v>0</v>
      </c>
      <c r="E225" s="393">
        <v>-3445.3538966965716</v>
      </c>
      <c r="F225" s="389">
        <v>-168986.19211729569</v>
      </c>
      <c r="G225" s="392">
        <v>-4202</v>
      </c>
      <c r="H225" s="392">
        <v>0</v>
      </c>
      <c r="I225" s="392">
        <v>-13209</v>
      </c>
      <c r="J225" s="394">
        <v>-17411</v>
      </c>
      <c r="K225" s="392">
        <v>62868.933300719495</v>
      </c>
      <c r="L225" s="392">
        <v>15982.27960002269</v>
      </c>
      <c r="M225" s="15">
        <v>78851.21290074219</v>
      </c>
      <c r="N225" s="389">
        <v>-9200</v>
      </c>
      <c r="P225" s="715">
        <v>-116745.9792165535</v>
      </c>
      <c r="Q225" s="716"/>
      <c r="R225" s="716"/>
      <c r="S225" s="717"/>
      <c r="T225" s="389">
        <v>132956.89616839358</v>
      </c>
      <c r="U225" s="390">
        <v>20250.754155234754</v>
      </c>
      <c r="V225" s="395">
        <v>36461.671107074828</v>
      </c>
      <c r="W225" s="408">
        <v>4207.9909625748696</v>
      </c>
      <c r="X225" s="177"/>
      <c r="Y225" s="177"/>
      <c r="Z225" s="15"/>
    </row>
    <row r="226" spans="1:26" x14ac:dyDescent="0.25">
      <c r="A226" s="108">
        <v>5763</v>
      </c>
      <c r="B226" s="116" t="s">
        <v>315</v>
      </c>
      <c r="C226" s="392">
        <v>-381827.48739134759</v>
      </c>
      <c r="D226" s="392">
        <v>0</v>
      </c>
      <c r="E226" s="393">
        <v>-51424.374173533601</v>
      </c>
      <c r="F226" s="389">
        <v>-433251.86156488117</v>
      </c>
      <c r="G226" s="392">
        <v>-18352</v>
      </c>
      <c r="H226" s="392">
        <v>0</v>
      </c>
      <c r="I226" s="392">
        <v>-66272</v>
      </c>
      <c r="J226" s="394">
        <v>-84624</v>
      </c>
      <c r="K226" s="392">
        <v>267537.13952058007</v>
      </c>
      <c r="L226" s="392">
        <v>68012.182531483413</v>
      </c>
      <c r="M226" s="15">
        <v>335549.32205206348</v>
      </c>
      <c r="N226" s="389">
        <v>0</v>
      </c>
      <c r="P226" s="715">
        <v>-182326.53951281769</v>
      </c>
      <c r="Q226" s="716"/>
      <c r="R226" s="716"/>
      <c r="S226" s="717"/>
      <c r="T226" s="389">
        <v>565794.67493557266</v>
      </c>
      <c r="U226" s="390">
        <v>86176.566952568333</v>
      </c>
      <c r="V226" s="395">
        <v>469644.70237532328</v>
      </c>
      <c r="W226" s="408">
        <v>17906.998037818605</v>
      </c>
      <c r="X226" s="177"/>
      <c r="Y226" s="177"/>
      <c r="Z226" s="15"/>
    </row>
    <row r="227" spans="1:26" x14ac:dyDescent="0.25">
      <c r="A227" s="108">
        <v>5764</v>
      </c>
      <c r="B227" s="116" t="s">
        <v>316</v>
      </c>
      <c r="C227" s="392">
        <v>-5707501.474000643</v>
      </c>
      <c r="D227" s="392">
        <v>-70558</v>
      </c>
      <c r="E227" s="393">
        <v>292470.71811469656</v>
      </c>
      <c r="F227" s="389">
        <v>-5485588.7558859466</v>
      </c>
      <c r="G227" s="392">
        <v>0</v>
      </c>
      <c r="H227" s="392">
        <v>-1160554</v>
      </c>
      <c r="I227" s="392">
        <v>0</v>
      </c>
      <c r="J227" s="394">
        <v>-1160554</v>
      </c>
      <c r="K227" s="392">
        <v>817647.0268486063</v>
      </c>
      <c r="L227" s="392">
        <v>480751.63672768982</v>
      </c>
      <c r="M227" s="15">
        <v>1298398.6635762961</v>
      </c>
      <c r="N227" s="389">
        <v>-347600</v>
      </c>
      <c r="P227" s="715">
        <v>-5695344.09230965</v>
      </c>
      <c r="Q227" s="716"/>
      <c r="R227" s="716"/>
      <c r="S227" s="717"/>
      <c r="T227" s="389">
        <v>3999382.2562770071</v>
      </c>
      <c r="U227" s="390">
        <v>701339.58748810261</v>
      </c>
      <c r="V227" s="395">
        <v>-994622.24854454037</v>
      </c>
      <c r="W227" s="408">
        <v>126577.59676475209</v>
      </c>
      <c r="X227" s="177"/>
      <c r="Y227" s="177"/>
      <c r="Z227" s="15"/>
    </row>
    <row r="228" spans="1:26" x14ac:dyDescent="0.25">
      <c r="A228" s="108">
        <v>5765</v>
      </c>
      <c r="B228" s="116" t="s">
        <v>317</v>
      </c>
      <c r="C228" s="392">
        <v>-681505.86277280247</v>
      </c>
      <c r="D228" s="392">
        <v>-10423</v>
      </c>
      <c r="E228" s="393">
        <v>13018.64705259465</v>
      </c>
      <c r="F228" s="389">
        <v>-678910.21572020778</v>
      </c>
      <c r="G228" s="392">
        <v>-99202</v>
      </c>
      <c r="H228" s="392">
        <v>-76384</v>
      </c>
      <c r="I228" s="392">
        <v>0</v>
      </c>
      <c r="J228" s="394">
        <v>-175586</v>
      </c>
      <c r="K228" s="392">
        <v>223024.09915437721</v>
      </c>
      <c r="L228" s="392">
        <v>56696.26193876662</v>
      </c>
      <c r="M228" s="15">
        <v>279720.36109314382</v>
      </c>
      <c r="N228" s="389">
        <v>0</v>
      </c>
      <c r="P228" s="715">
        <v>-574775.85462706396</v>
      </c>
      <c r="Q228" s="716"/>
      <c r="R228" s="716"/>
      <c r="S228" s="717"/>
      <c r="T228" s="389">
        <v>471657.31049517728</v>
      </c>
      <c r="U228" s="390">
        <v>71838.44174776708</v>
      </c>
      <c r="V228" s="395">
        <v>-31280.1023841196</v>
      </c>
      <c r="W228" s="408">
        <v>14927.617575265594</v>
      </c>
      <c r="X228" s="177"/>
      <c r="Y228" s="177"/>
      <c r="Z228" s="15"/>
    </row>
    <row r="229" spans="1:26" x14ac:dyDescent="0.25">
      <c r="A229" s="108">
        <v>5766</v>
      </c>
      <c r="B229" s="116" t="s">
        <v>318</v>
      </c>
      <c r="C229" s="392">
        <v>-746491.91825781099</v>
      </c>
      <c r="D229" s="392">
        <v>0</v>
      </c>
      <c r="E229" s="393">
        <v>-25571.184623826208</v>
      </c>
      <c r="F229" s="389">
        <v>-772063.10288163717</v>
      </c>
      <c r="G229" s="392">
        <v>-5248</v>
      </c>
      <c r="H229" s="392">
        <v>0</v>
      </c>
      <c r="I229" s="392">
        <v>0</v>
      </c>
      <c r="J229" s="394">
        <v>-5248</v>
      </c>
      <c r="K229" s="392">
        <v>268913.83149066882</v>
      </c>
      <c r="L229" s="392">
        <v>68362.159457031361</v>
      </c>
      <c r="M229" s="15">
        <v>337275.99094770016</v>
      </c>
      <c r="N229" s="389">
        <v>-48600</v>
      </c>
      <c r="P229" s="715">
        <v>-488635.11193393701</v>
      </c>
      <c r="Q229" s="716"/>
      <c r="R229" s="716"/>
      <c r="S229" s="717"/>
      <c r="T229" s="389">
        <v>568706.13981517253</v>
      </c>
      <c r="U229" s="390">
        <v>86620.014123850837</v>
      </c>
      <c r="V229" s="395">
        <v>166691.04200508638</v>
      </c>
      <c r="W229" s="408">
        <v>17999.143825320243</v>
      </c>
      <c r="X229" s="177"/>
      <c r="Y229" s="177"/>
      <c r="Z229" s="15"/>
    </row>
    <row r="230" spans="1:26" x14ac:dyDescent="0.25">
      <c r="A230" s="108">
        <v>5785</v>
      </c>
      <c r="B230" s="116" t="s">
        <v>319</v>
      </c>
      <c r="C230" s="392">
        <v>-335282.90093595954</v>
      </c>
      <c r="D230" s="392">
        <v>0</v>
      </c>
      <c r="E230" s="393">
        <v>-19739.308382104282</v>
      </c>
      <c r="F230" s="389">
        <v>-355022.2093180638</v>
      </c>
      <c r="G230" s="392">
        <v>-42583</v>
      </c>
      <c r="H230" s="392">
        <v>-19281</v>
      </c>
      <c r="I230" s="392">
        <v>0</v>
      </c>
      <c r="J230" s="394">
        <v>-61864</v>
      </c>
      <c r="K230" s="392">
        <v>229448.661681458</v>
      </c>
      <c r="L230" s="392">
        <v>58329.487591323683</v>
      </c>
      <c r="M230" s="15">
        <v>287778.14927278168</v>
      </c>
      <c r="N230" s="389">
        <v>0</v>
      </c>
      <c r="P230" s="715">
        <v>-129108.06004528212</v>
      </c>
      <c r="Q230" s="716"/>
      <c r="R230" s="716"/>
      <c r="S230" s="717"/>
      <c r="T230" s="389">
        <v>485244.14659997658</v>
      </c>
      <c r="U230" s="390">
        <v>73907.861880418801</v>
      </c>
      <c r="V230" s="395">
        <v>430043.94843511324</v>
      </c>
      <c r="W230" s="408">
        <v>15357.631250273245</v>
      </c>
      <c r="X230" s="177"/>
      <c r="Y230" s="177"/>
      <c r="Z230" s="15"/>
    </row>
    <row r="231" spans="1:26" x14ac:dyDescent="0.25">
      <c r="A231" s="108">
        <v>5790</v>
      </c>
      <c r="B231" s="116" t="s">
        <v>320</v>
      </c>
      <c r="C231" s="392">
        <v>-535282.12270190031</v>
      </c>
      <c r="D231" s="392">
        <v>0</v>
      </c>
      <c r="E231" s="393">
        <v>-54279.445105306251</v>
      </c>
      <c r="F231" s="389">
        <v>-589561.56780720653</v>
      </c>
      <c r="G231" s="392">
        <v>0</v>
      </c>
      <c r="H231" s="392">
        <v>-21865</v>
      </c>
      <c r="I231" s="392">
        <v>-35630</v>
      </c>
      <c r="J231" s="394">
        <v>-57495</v>
      </c>
      <c r="K231" s="392">
        <v>260194.78234677337</v>
      </c>
      <c r="L231" s="392">
        <v>66145.638928561064</v>
      </c>
      <c r="M231" s="15">
        <v>326340.42127533443</v>
      </c>
      <c r="N231" s="389">
        <v>-1100</v>
      </c>
      <c r="P231" s="715">
        <v>-321816.1465318721</v>
      </c>
      <c r="Q231" s="716"/>
      <c r="R231" s="716"/>
      <c r="S231" s="717"/>
      <c r="T231" s="389">
        <v>550266.86224437342</v>
      </c>
      <c r="U231" s="390">
        <v>83811.515372394933</v>
      </c>
      <c r="V231" s="395">
        <v>312262.23108489625</v>
      </c>
      <c r="W231" s="408">
        <v>17415.553837809861</v>
      </c>
      <c r="X231" s="177"/>
      <c r="Y231" s="177"/>
      <c r="Z231" s="15"/>
    </row>
    <row r="232" spans="1:26" x14ac:dyDescent="0.25">
      <c r="A232" s="108">
        <v>5792</v>
      </c>
      <c r="B232" s="116" t="s">
        <v>321</v>
      </c>
      <c r="C232" s="392">
        <v>-598879.60177956638</v>
      </c>
      <c r="D232" s="392">
        <v>0</v>
      </c>
      <c r="E232" s="393">
        <v>-10270.908194979798</v>
      </c>
      <c r="F232" s="389">
        <v>-609150.50997454615</v>
      </c>
      <c r="G232" s="392">
        <v>0</v>
      </c>
      <c r="H232" s="392">
        <v>-35080</v>
      </c>
      <c r="I232" s="392">
        <v>0</v>
      </c>
      <c r="J232" s="394">
        <v>-35080</v>
      </c>
      <c r="K232" s="392">
        <v>290023.10836536298</v>
      </c>
      <c r="L232" s="392">
        <v>73728.47231543313</v>
      </c>
      <c r="M232" s="15">
        <v>363751.58068079612</v>
      </c>
      <c r="N232" s="389">
        <v>-64900</v>
      </c>
      <c r="P232" s="715">
        <v>-345378.92929375003</v>
      </c>
      <c r="Q232" s="716"/>
      <c r="R232" s="716"/>
      <c r="S232" s="717"/>
      <c r="T232" s="389">
        <v>613348.60130237043</v>
      </c>
      <c r="U232" s="390">
        <v>93419.537416849373</v>
      </c>
      <c r="V232" s="395">
        <v>361389.20942546974</v>
      </c>
      <c r="W232" s="408">
        <v>19412.045900345383</v>
      </c>
      <c r="X232" s="177"/>
      <c r="Y232" s="177"/>
      <c r="Z232" s="15"/>
    </row>
    <row r="233" spans="1:26" x14ac:dyDescent="0.25">
      <c r="A233" s="108">
        <v>5798</v>
      </c>
      <c r="B233" s="116" t="s">
        <v>322</v>
      </c>
      <c r="C233" s="392">
        <v>-522503.36993523838</v>
      </c>
      <c r="D233" s="392">
        <v>0</v>
      </c>
      <c r="E233" s="393">
        <v>-25747.011968851584</v>
      </c>
      <c r="F233" s="389">
        <v>-548250.38190408994</v>
      </c>
      <c r="G233" s="392">
        <v>-5779</v>
      </c>
      <c r="H233" s="392">
        <v>-28531</v>
      </c>
      <c r="I233" s="392">
        <v>-10039</v>
      </c>
      <c r="J233" s="394">
        <v>-44349</v>
      </c>
      <c r="K233" s="392">
        <v>245510.06799916009</v>
      </c>
      <c r="L233" s="392">
        <v>62412.551722716344</v>
      </c>
      <c r="M233" s="15">
        <v>307922.61972187646</v>
      </c>
      <c r="N233" s="389">
        <v>0</v>
      </c>
      <c r="P233" s="715">
        <v>-284676.76218221348</v>
      </c>
      <c r="Q233" s="716"/>
      <c r="R233" s="716"/>
      <c r="S233" s="717"/>
      <c r="T233" s="389">
        <v>519211.23686197499</v>
      </c>
      <c r="U233" s="390">
        <v>79081.412212048133</v>
      </c>
      <c r="V233" s="395">
        <v>313615.88689180964</v>
      </c>
      <c r="W233" s="408">
        <v>16432.665437792373</v>
      </c>
      <c r="X233" s="177"/>
      <c r="Y233" s="177"/>
      <c r="Z233" s="15"/>
    </row>
    <row r="234" spans="1:26" x14ac:dyDescent="0.25">
      <c r="A234" s="108">
        <v>5799</v>
      </c>
      <c r="B234" s="116" t="s">
        <v>323</v>
      </c>
      <c r="C234" s="392">
        <v>-1469820.1695087403</v>
      </c>
      <c r="D234" s="392">
        <v>0</v>
      </c>
      <c r="E234" s="393">
        <v>-198784.76601186098</v>
      </c>
      <c r="F234" s="389">
        <v>-1668604.9355206012</v>
      </c>
      <c r="G234" s="392">
        <v>0</v>
      </c>
      <c r="H234" s="392">
        <v>-85026</v>
      </c>
      <c r="I234" s="392">
        <v>-84444</v>
      </c>
      <c r="J234" s="394">
        <v>-169470</v>
      </c>
      <c r="K234" s="392">
        <v>716592.6421306039</v>
      </c>
      <c r="L234" s="392">
        <v>253383.29409671007</v>
      </c>
      <c r="M234" s="15">
        <v>969975.93622731394</v>
      </c>
      <c r="N234" s="389">
        <v>0</v>
      </c>
      <c r="P234" s="715">
        <v>-868098.99929328728</v>
      </c>
      <c r="Q234" s="716"/>
      <c r="R234" s="716"/>
      <c r="S234" s="717"/>
      <c r="T234" s="389">
        <v>2107900.5728302984</v>
      </c>
      <c r="U234" s="390">
        <v>350404.61527820583</v>
      </c>
      <c r="V234" s="395">
        <v>1590206.188815217</v>
      </c>
      <c r="W234" s="408">
        <v>66713.550151186981</v>
      </c>
      <c r="X234" s="177"/>
      <c r="Y234" s="177"/>
      <c r="Z234" s="15"/>
    </row>
    <row r="235" spans="1:26" x14ac:dyDescent="0.25">
      <c r="A235" s="108">
        <v>5803</v>
      </c>
      <c r="B235" s="116" t="s">
        <v>324</v>
      </c>
      <c r="C235" s="392">
        <v>-691388.47386667703</v>
      </c>
      <c r="D235" s="392">
        <v>0</v>
      </c>
      <c r="E235" s="393">
        <v>-74753.733629678725</v>
      </c>
      <c r="F235" s="389">
        <v>-766142.20749635575</v>
      </c>
      <c r="G235" s="392">
        <v>-15547</v>
      </c>
      <c r="H235" s="392">
        <v>-2659</v>
      </c>
      <c r="I235" s="392">
        <v>-49622</v>
      </c>
      <c r="J235" s="394">
        <v>-67828</v>
      </c>
      <c r="K235" s="392">
        <v>296447.67089244374</v>
      </c>
      <c r="L235" s="392">
        <v>75361.6979679902</v>
      </c>
      <c r="M235" s="15">
        <v>371809.36886043393</v>
      </c>
      <c r="N235" s="389">
        <v>0</v>
      </c>
      <c r="P235" s="715">
        <v>-462160.83863592183</v>
      </c>
      <c r="Q235" s="716"/>
      <c r="R235" s="716"/>
      <c r="S235" s="717"/>
      <c r="T235" s="389">
        <v>626935.43740716972</v>
      </c>
      <c r="U235" s="390">
        <v>95488.957549501094</v>
      </c>
      <c r="V235" s="395">
        <v>260263.55632074899</v>
      </c>
      <c r="W235" s="408">
        <v>19842.059575353032</v>
      </c>
      <c r="X235" s="177"/>
      <c r="Y235" s="177"/>
      <c r="Z235" s="15"/>
    </row>
    <row r="236" spans="1:26" x14ac:dyDescent="0.25">
      <c r="A236" s="108">
        <v>5804</v>
      </c>
      <c r="B236" s="116" t="s">
        <v>325</v>
      </c>
      <c r="C236" s="392">
        <v>-1438879.4350426719</v>
      </c>
      <c r="D236" s="392">
        <v>0</v>
      </c>
      <c r="E236" s="393">
        <v>-196355.59870187275</v>
      </c>
      <c r="F236" s="389">
        <v>-1635235.0337445447</v>
      </c>
      <c r="G236" s="392">
        <v>-58093</v>
      </c>
      <c r="H236" s="392">
        <v>-84758</v>
      </c>
      <c r="I236" s="392">
        <v>-60569</v>
      </c>
      <c r="J236" s="394">
        <v>-203420</v>
      </c>
      <c r="K236" s="392">
        <v>581368.56274312269</v>
      </c>
      <c r="L236" s="392">
        <v>181638.02435938196</v>
      </c>
      <c r="M236" s="15">
        <v>763006.58710250468</v>
      </c>
      <c r="N236" s="389">
        <v>-113200</v>
      </c>
      <c r="P236" s="715">
        <v>-1188848.44664204</v>
      </c>
      <c r="Q236" s="716"/>
      <c r="R236" s="716"/>
      <c r="S236" s="717"/>
      <c r="T236" s="389">
        <v>1511050.2725123272</v>
      </c>
      <c r="U236" s="390">
        <v>244097.30445637868</v>
      </c>
      <c r="V236" s="395">
        <v>566299.13032666582</v>
      </c>
      <c r="W236" s="408">
        <v>47823.663713350885</v>
      </c>
      <c r="X236" s="177"/>
      <c r="Y236" s="177"/>
      <c r="Z236" s="15"/>
    </row>
    <row r="237" spans="1:26" x14ac:dyDescent="0.25">
      <c r="A237" s="108">
        <v>5805</v>
      </c>
      <c r="B237" s="116" t="s">
        <v>326</v>
      </c>
      <c r="C237" s="392">
        <v>-6636230.0437231837</v>
      </c>
      <c r="D237" s="392">
        <v>0</v>
      </c>
      <c r="E237" s="393">
        <v>-725846.25488545955</v>
      </c>
      <c r="F237" s="389">
        <v>-7362076.298608643</v>
      </c>
      <c r="G237" s="392">
        <v>0</v>
      </c>
      <c r="H237" s="392">
        <v>-32681</v>
      </c>
      <c r="I237" s="392">
        <v>0</v>
      </c>
      <c r="J237" s="394">
        <v>-32681</v>
      </c>
      <c r="K237" s="392">
        <v>669369.61628841981</v>
      </c>
      <c r="L237" s="392">
        <v>720135.85380248225</v>
      </c>
      <c r="M237" s="15">
        <v>1389505.4700909019</v>
      </c>
      <c r="N237" s="389">
        <v>-25500</v>
      </c>
      <c r="P237" s="715">
        <v>-6030751.8285177406</v>
      </c>
      <c r="Q237" s="716"/>
      <c r="R237" s="716"/>
      <c r="S237" s="717"/>
      <c r="T237" s="389">
        <v>5990824.2339233113</v>
      </c>
      <c r="U237" s="390">
        <v>1096422.7337474688</v>
      </c>
      <c r="V237" s="395">
        <v>1056495.1391530395</v>
      </c>
      <c r="W237" s="408">
        <v>189605.31541587348</v>
      </c>
      <c r="X237" s="177"/>
      <c r="Y237" s="177"/>
      <c r="Z237" s="15"/>
    </row>
    <row r="238" spans="1:26" x14ac:dyDescent="0.25">
      <c r="A238" s="108">
        <v>5806</v>
      </c>
      <c r="B238" s="116" t="s">
        <v>327</v>
      </c>
      <c r="C238" s="392">
        <v>-2995052.0609593731</v>
      </c>
      <c r="D238" s="392">
        <v>0</v>
      </c>
      <c r="E238" s="393">
        <v>-87860.041859890509</v>
      </c>
      <c r="F238" s="389">
        <v>-3082912.1028192635</v>
      </c>
      <c r="G238" s="392">
        <v>0</v>
      </c>
      <c r="H238" s="392">
        <v>-60643</v>
      </c>
      <c r="I238" s="392">
        <v>0</v>
      </c>
      <c r="J238" s="394">
        <v>-60643</v>
      </c>
      <c r="K238" s="392">
        <v>885860.41650202568</v>
      </c>
      <c r="L238" s="392">
        <v>370625.56415527069</v>
      </c>
      <c r="M238" s="15">
        <v>1256485.9806572963</v>
      </c>
      <c r="N238" s="389">
        <v>-136700</v>
      </c>
      <c r="P238" s="715">
        <v>-2023769.1221619672</v>
      </c>
      <c r="Q238" s="716"/>
      <c r="R238" s="716"/>
      <c r="S238" s="717"/>
      <c r="T238" s="389">
        <v>3083241.3074962515</v>
      </c>
      <c r="U238" s="390">
        <v>526342.50808905973</v>
      </c>
      <c r="V238" s="395">
        <v>1585814.6934233441</v>
      </c>
      <c r="W238" s="408">
        <v>97582.388964236205</v>
      </c>
      <c r="X238" s="177"/>
      <c r="Y238" s="177"/>
      <c r="Z238" s="15"/>
    </row>
    <row r="239" spans="1:26" x14ac:dyDescent="0.25">
      <c r="A239" s="108">
        <v>5812</v>
      </c>
      <c r="B239" s="116" t="s">
        <v>328</v>
      </c>
      <c r="C239" s="392">
        <v>-299837.86577263742</v>
      </c>
      <c r="D239" s="392">
        <v>-13084</v>
      </c>
      <c r="E239" s="393">
        <v>-7987.8815516712057</v>
      </c>
      <c r="F239" s="389">
        <v>-320909.74732430861</v>
      </c>
      <c r="G239" s="392">
        <v>-16418</v>
      </c>
      <c r="H239" s="392">
        <v>0</v>
      </c>
      <c r="I239" s="392">
        <v>0</v>
      </c>
      <c r="J239" s="394">
        <v>-16418</v>
      </c>
      <c r="K239" s="392">
        <v>86272.69679222822</v>
      </c>
      <c r="L239" s="392">
        <v>21931.887334337705</v>
      </c>
      <c r="M239" s="15">
        <v>108204.58412656593</v>
      </c>
      <c r="N239" s="389">
        <v>-5200</v>
      </c>
      <c r="P239" s="715">
        <v>-234323.16319774269</v>
      </c>
      <c r="Q239" s="716"/>
      <c r="R239" s="716"/>
      <c r="S239" s="717"/>
      <c r="T239" s="389">
        <v>182451.7991215912</v>
      </c>
      <c r="U239" s="390">
        <v>27789.356067037472</v>
      </c>
      <c r="V239" s="395">
        <v>-24082.008009114012</v>
      </c>
      <c r="W239" s="408">
        <v>5774.4693501027405</v>
      </c>
      <c r="X239" s="177"/>
      <c r="Y239" s="177"/>
      <c r="Z239" s="15"/>
    </row>
    <row r="240" spans="1:26" x14ac:dyDescent="0.25">
      <c r="A240" s="108">
        <v>5813</v>
      </c>
      <c r="B240" s="116" t="s">
        <v>329</v>
      </c>
      <c r="C240" s="392">
        <v>-341073.86080973904</v>
      </c>
      <c r="D240" s="392">
        <v>0</v>
      </c>
      <c r="E240" s="393">
        <v>-42577.421984445289</v>
      </c>
      <c r="F240" s="389">
        <v>-383651.28279418434</v>
      </c>
      <c r="G240" s="392">
        <v>0</v>
      </c>
      <c r="H240" s="392">
        <v>0</v>
      </c>
      <c r="I240" s="392">
        <v>0</v>
      </c>
      <c r="J240" s="394">
        <v>0</v>
      </c>
      <c r="K240" s="392">
        <v>240462.19744216802</v>
      </c>
      <c r="L240" s="392">
        <v>61129.302995707221</v>
      </c>
      <c r="M240" s="15">
        <v>301591.50043787522</v>
      </c>
      <c r="N240" s="389">
        <v>0</v>
      </c>
      <c r="P240" s="715">
        <v>-82059.782356309122</v>
      </c>
      <c r="Q240" s="716"/>
      <c r="R240" s="716"/>
      <c r="S240" s="717"/>
      <c r="T240" s="389">
        <v>508535.8656367755</v>
      </c>
      <c r="U240" s="390">
        <v>77455.439250678915</v>
      </c>
      <c r="V240" s="395">
        <v>503931.52253114531</v>
      </c>
      <c r="W240" s="408">
        <v>16094.797550286361</v>
      </c>
      <c r="X240" s="177"/>
      <c r="Y240" s="177"/>
      <c r="Z240" s="15"/>
    </row>
    <row r="241" spans="1:26" x14ac:dyDescent="0.25">
      <c r="A241" s="108">
        <v>5816</v>
      </c>
      <c r="B241" s="116" t="s">
        <v>330</v>
      </c>
      <c r="C241" s="392">
        <v>-3887047.0446113856</v>
      </c>
      <c r="D241" s="392">
        <v>-12367</v>
      </c>
      <c r="E241" s="393">
        <v>-116180.730867668</v>
      </c>
      <c r="F241" s="389">
        <v>-4015594.7754790536</v>
      </c>
      <c r="G241" s="392">
        <v>0</v>
      </c>
      <c r="H241" s="392">
        <v>0</v>
      </c>
      <c r="I241" s="392">
        <v>0</v>
      </c>
      <c r="J241" s="394">
        <v>0</v>
      </c>
      <c r="K241" s="392">
        <v>879960.92015482904</v>
      </c>
      <c r="L241" s="392">
        <v>340060.91265741707</v>
      </c>
      <c r="M241" s="15">
        <v>1220021.8328122462</v>
      </c>
      <c r="N241" s="389">
        <v>0</v>
      </c>
      <c r="P241" s="715">
        <v>-2795572.9426668072</v>
      </c>
      <c r="Q241" s="716"/>
      <c r="R241" s="716"/>
      <c r="S241" s="717"/>
      <c r="T241" s="389">
        <v>2828973.3746778634</v>
      </c>
      <c r="U241" s="390">
        <v>478837.67534425086</v>
      </c>
      <c r="V241" s="395">
        <v>512238.10735530709</v>
      </c>
      <c r="W241" s="408">
        <v>89534.99018909302</v>
      </c>
      <c r="X241" s="177"/>
      <c r="Y241" s="177"/>
      <c r="Z241" s="15"/>
    </row>
    <row r="242" spans="1:26" x14ac:dyDescent="0.25">
      <c r="A242" s="108">
        <v>5817</v>
      </c>
      <c r="B242" s="116" t="s">
        <v>331</v>
      </c>
      <c r="C242" s="392">
        <v>-1286566.2519320832</v>
      </c>
      <c r="D242" s="392">
        <v>0</v>
      </c>
      <c r="E242" s="393">
        <v>-135361.37266479383</v>
      </c>
      <c r="F242" s="389">
        <v>-1421927.624596877</v>
      </c>
      <c r="G242" s="392">
        <v>-24115</v>
      </c>
      <c r="H242" s="392">
        <v>0</v>
      </c>
      <c r="I242" s="392">
        <v>-15213</v>
      </c>
      <c r="J242" s="394">
        <v>-39328</v>
      </c>
      <c r="K242" s="392">
        <v>460216.58267401339</v>
      </c>
      <c r="L242" s="392">
        <v>117358.92903374325</v>
      </c>
      <c r="M242" s="15">
        <v>577575.51170775667</v>
      </c>
      <c r="N242" s="389">
        <v>0</v>
      </c>
      <c r="P242" s="715">
        <v>-883680.11288912036</v>
      </c>
      <c r="Q242" s="716"/>
      <c r="R242" s="716"/>
      <c r="S242" s="717"/>
      <c r="T242" s="389">
        <v>976311.22295915289</v>
      </c>
      <c r="U242" s="390">
        <v>148852.86825666029</v>
      </c>
      <c r="V242" s="395">
        <v>241483.97832669283</v>
      </c>
      <c r="W242" s="408">
        <v>30899.554075549768</v>
      </c>
      <c r="X242" s="177"/>
      <c r="Y242" s="177"/>
      <c r="Z242" s="15"/>
    </row>
    <row r="243" spans="1:26" x14ac:dyDescent="0.25">
      <c r="A243" s="108">
        <v>5819</v>
      </c>
      <c r="B243" s="116" t="s">
        <v>332</v>
      </c>
      <c r="C243" s="392">
        <v>-539900.37825389684</v>
      </c>
      <c r="D243" s="392">
        <v>0</v>
      </c>
      <c r="E243" s="393">
        <v>3557.5701890493219</v>
      </c>
      <c r="F243" s="389">
        <v>-536342.80806484749</v>
      </c>
      <c r="G243" s="392">
        <v>0</v>
      </c>
      <c r="H243" s="392">
        <v>0</v>
      </c>
      <c r="I243" s="392">
        <v>-67747</v>
      </c>
      <c r="J243" s="394">
        <v>-67747</v>
      </c>
      <c r="K243" s="392">
        <v>208339.38480676388</v>
      </c>
      <c r="L243" s="392">
        <v>52963.174732921907</v>
      </c>
      <c r="M243" s="15">
        <v>261302.55953968578</v>
      </c>
      <c r="N243" s="389">
        <v>0</v>
      </c>
      <c r="P243" s="715">
        <v>-342787.2485251617</v>
      </c>
      <c r="Q243" s="716"/>
      <c r="R243" s="716"/>
      <c r="S243" s="717"/>
      <c r="T243" s="389">
        <v>440601.68511277874</v>
      </c>
      <c r="U243" s="390">
        <v>67108.33858742028</v>
      </c>
      <c r="V243" s="395">
        <v>164922.77517503733</v>
      </c>
      <c r="W243" s="408">
        <v>13944.729175248107</v>
      </c>
      <c r="X243" s="177"/>
      <c r="Y243" s="177"/>
      <c r="Z243" s="15"/>
    </row>
    <row r="244" spans="1:26" x14ac:dyDescent="0.25">
      <c r="A244" s="108">
        <v>5821</v>
      </c>
      <c r="B244" s="116" t="s">
        <v>333</v>
      </c>
      <c r="C244" s="392">
        <v>-520914.75465140794</v>
      </c>
      <c r="D244" s="392">
        <v>-6149</v>
      </c>
      <c r="E244" s="393">
        <v>-59869.844920106632</v>
      </c>
      <c r="F244" s="389">
        <v>-586933.59957151453</v>
      </c>
      <c r="G244" s="392">
        <v>-565</v>
      </c>
      <c r="H244" s="392">
        <v>0</v>
      </c>
      <c r="I244" s="392">
        <v>-44731</v>
      </c>
      <c r="J244" s="394">
        <v>-45296</v>
      </c>
      <c r="K244" s="392">
        <v>173004.29090781938</v>
      </c>
      <c r="L244" s="392">
        <v>43980.433643858058</v>
      </c>
      <c r="M244" s="15">
        <v>216984.72455167744</v>
      </c>
      <c r="N244" s="389">
        <v>0</v>
      </c>
      <c r="P244" s="715">
        <v>-415244.87501983705</v>
      </c>
      <c r="Q244" s="716"/>
      <c r="R244" s="716"/>
      <c r="S244" s="717"/>
      <c r="T244" s="389">
        <v>365874.08653638238</v>
      </c>
      <c r="U244" s="390">
        <v>55726.527857835776</v>
      </c>
      <c r="V244" s="395">
        <v>6355.7393743811044</v>
      </c>
      <c r="W244" s="408">
        <v>11579.653962706027</v>
      </c>
      <c r="X244" s="177"/>
      <c r="Y244" s="177"/>
      <c r="Z244" s="15"/>
    </row>
    <row r="245" spans="1:26" x14ac:dyDescent="0.25">
      <c r="A245" s="108">
        <v>5822</v>
      </c>
      <c r="B245" s="116" t="s">
        <v>104</v>
      </c>
      <c r="C245" s="392">
        <v>-13671480.172962481</v>
      </c>
      <c r="D245" s="392">
        <v>0</v>
      </c>
      <c r="E245" s="393">
        <v>-983314.50091503409</v>
      </c>
      <c r="F245" s="389">
        <v>-14654794.673877515</v>
      </c>
      <c r="G245" s="392">
        <v>0</v>
      </c>
      <c r="H245" s="392">
        <v>0</v>
      </c>
      <c r="I245" s="392">
        <v>0</v>
      </c>
      <c r="J245" s="394">
        <v>0</v>
      </c>
      <c r="K245" s="392">
        <v>351136.81116801966</v>
      </c>
      <c r="L245" s="392">
        <v>1053935.5805068612</v>
      </c>
      <c r="M245" s="15">
        <v>1405072.3916748809</v>
      </c>
      <c r="N245" s="389">
        <v>0</v>
      </c>
      <c r="P245" s="715">
        <v>-13249722.282202635</v>
      </c>
      <c r="Q245" s="716"/>
      <c r="R245" s="716"/>
      <c r="S245" s="717"/>
      <c r="T245" s="389">
        <v>10264854.677175906</v>
      </c>
      <c r="U245" s="390">
        <v>1967970.4061724702</v>
      </c>
      <c r="V245" s="395">
        <v>-1016897.1988542592</v>
      </c>
      <c r="W245" s="408">
        <v>324875.33146828023</v>
      </c>
      <c r="X245" s="177"/>
      <c r="Y245" s="177"/>
      <c r="Z245" s="15"/>
    </row>
    <row r="246" spans="1:26" x14ac:dyDescent="0.25">
      <c r="A246" s="108">
        <v>5827</v>
      </c>
      <c r="B246" s="116" t="s">
        <v>334</v>
      </c>
      <c r="C246" s="392">
        <v>-408266.26768648409</v>
      </c>
      <c r="D246" s="392">
        <v>0</v>
      </c>
      <c r="E246" s="393">
        <v>-60245.897280725701</v>
      </c>
      <c r="F246" s="389">
        <v>-468512.1649672098</v>
      </c>
      <c r="G246" s="392">
        <v>-13273</v>
      </c>
      <c r="H246" s="392">
        <v>0</v>
      </c>
      <c r="I246" s="392">
        <v>-12358</v>
      </c>
      <c r="J246" s="394">
        <v>-25631</v>
      </c>
      <c r="K246" s="392">
        <v>144552.65685931858</v>
      </c>
      <c r="L246" s="392">
        <v>36747.577182533918</v>
      </c>
      <c r="M246" s="15">
        <v>181300.2340418525</v>
      </c>
      <c r="N246" s="389">
        <v>-13300</v>
      </c>
      <c r="P246" s="715">
        <v>-326142.93092535727</v>
      </c>
      <c r="Q246" s="716"/>
      <c r="R246" s="716"/>
      <c r="S246" s="717"/>
      <c r="T246" s="389">
        <v>305703.81235798524</v>
      </c>
      <c r="U246" s="390">
        <v>46561.952984663847</v>
      </c>
      <c r="V246" s="395">
        <v>26122.834417291815</v>
      </c>
      <c r="W246" s="408">
        <v>9675.3076876721443</v>
      </c>
      <c r="X246" s="177"/>
      <c r="Y246" s="177"/>
      <c r="Z246" s="15"/>
    </row>
    <row r="247" spans="1:26" x14ac:dyDescent="0.25">
      <c r="A247" s="108">
        <v>5828</v>
      </c>
      <c r="B247" s="116" t="s">
        <v>335</v>
      </c>
      <c r="C247" s="392">
        <v>-137144.62476594659</v>
      </c>
      <c r="D247" s="392">
        <v>0</v>
      </c>
      <c r="E247" s="393">
        <v>-20771.493027298733</v>
      </c>
      <c r="F247" s="389">
        <v>-157916.11779324533</v>
      </c>
      <c r="G247" s="392">
        <v>-23850</v>
      </c>
      <c r="H247" s="392">
        <v>0</v>
      </c>
      <c r="I247" s="392">
        <v>0</v>
      </c>
      <c r="J247" s="394">
        <v>-23850</v>
      </c>
      <c r="K247" s="392">
        <v>50019.808246557848</v>
      </c>
      <c r="L247" s="392">
        <v>12715.828294908562</v>
      </c>
      <c r="M247" s="15">
        <v>62735.636541466411</v>
      </c>
      <c r="N247" s="389">
        <v>-10100</v>
      </c>
      <c r="P247" s="715">
        <v>-129130.48125177893</v>
      </c>
      <c r="Q247" s="716"/>
      <c r="R247" s="716"/>
      <c r="S247" s="717"/>
      <c r="T247" s="389">
        <v>105783.2239587949</v>
      </c>
      <c r="U247" s="390">
        <v>16111.9138899313</v>
      </c>
      <c r="V247" s="395">
        <v>-7235.3434030527242</v>
      </c>
      <c r="W247" s="408">
        <v>3347.9636125595675</v>
      </c>
      <c r="X247" s="177"/>
      <c r="Y247" s="177"/>
      <c r="Z247" s="15"/>
    </row>
    <row r="248" spans="1:26" x14ac:dyDescent="0.25">
      <c r="A248" s="108">
        <v>5830</v>
      </c>
      <c r="B248" s="116" t="s">
        <v>336</v>
      </c>
      <c r="C248" s="392">
        <v>-686621.4835698863</v>
      </c>
      <c r="D248" s="392">
        <v>0</v>
      </c>
      <c r="E248" s="393">
        <v>-53942.353801209501</v>
      </c>
      <c r="F248" s="389">
        <v>-740563.83737109578</v>
      </c>
      <c r="G248" s="392">
        <v>-37951</v>
      </c>
      <c r="H248" s="392">
        <v>-1613</v>
      </c>
      <c r="I248" s="392">
        <v>-22226</v>
      </c>
      <c r="J248" s="394">
        <v>-61790</v>
      </c>
      <c r="K248" s="392">
        <v>240921.09476553096</v>
      </c>
      <c r="L248" s="392">
        <v>61245.961970889868</v>
      </c>
      <c r="M248" s="15">
        <v>302167.05673642084</v>
      </c>
      <c r="N248" s="389">
        <v>-7700</v>
      </c>
      <c r="P248" s="715">
        <v>-507886.78063467494</v>
      </c>
      <c r="Q248" s="716"/>
      <c r="R248" s="716"/>
      <c r="S248" s="717"/>
      <c r="T248" s="389">
        <v>509506.35392997542</v>
      </c>
      <c r="U248" s="390">
        <v>77603.25497443974</v>
      </c>
      <c r="V248" s="395">
        <v>79222.828269740217</v>
      </c>
      <c r="W248" s="408">
        <v>16125.512812786908</v>
      </c>
      <c r="X248" s="177"/>
      <c r="Y248" s="177"/>
      <c r="Z248" s="15"/>
    </row>
    <row r="249" spans="1:26" x14ac:dyDescent="0.25">
      <c r="A249" s="108">
        <v>5831</v>
      </c>
      <c r="B249" s="116" t="s">
        <v>337</v>
      </c>
      <c r="C249" s="392">
        <v>-4018764.3167141783</v>
      </c>
      <c r="D249" s="392">
        <v>0</v>
      </c>
      <c r="E249" s="393">
        <v>-300378.55289889436</v>
      </c>
      <c r="F249" s="389">
        <v>-4319142.8696130728</v>
      </c>
      <c r="G249" s="392">
        <v>-70505</v>
      </c>
      <c r="H249" s="392">
        <v>-4990</v>
      </c>
      <c r="I249" s="392">
        <v>0</v>
      </c>
      <c r="J249" s="394">
        <v>-75495</v>
      </c>
      <c r="K249" s="392">
        <v>869312.88871533819</v>
      </c>
      <c r="L249" s="392">
        <v>397340.46947209694</v>
      </c>
      <c r="M249" s="15">
        <v>1266653.3581874352</v>
      </c>
      <c r="N249" s="389">
        <v>-354600</v>
      </c>
      <c r="P249" s="715">
        <v>-3482584.5114256376</v>
      </c>
      <c r="Q249" s="716"/>
      <c r="R249" s="716"/>
      <c r="S249" s="717"/>
      <c r="T249" s="389">
        <v>3305483.1266390407</v>
      </c>
      <c r="U249" s="390">
        <v>568794.13010429358</v>
      </c>
      <c r="V249" s="395">
        <v>391692.74531769659</v>
      </c>
      <c r="W249" s="408">
        <v>104616.18407686135</v>
      </c>
      <c r="X249" s="177"/>
      <c r="Y249" s="177"/>
      <c r="Z249" s="15"/>
    </row>
    <row r="250" spans="1:26" x14ac:dyDescent="0.25">
      <c r="A250" s="108">
        <v>5841</v>
      </c>
      <c r="B250" s="116" t="s">
        <v>101</v>
      </c>
      <c r="C250" s="392">
        <v>-2208879.1207499029</v>
      </c>
      <c r="D250" s="392">
        <v>0</v>
      </c>
      <c r="E250" s="393">
        <v>8537.1842297440162</v>
      </c>
      <c r="F250" s="389">
        <v>-2200341.9365201588</v>
      </c>
      <c r="G250" s="392">
        <v>-711107</v>
      </c>
      <c r="H250" s="392">
        <v>-1493183</v>
      </c>
      <c r="I250" s="392">
        <v>0</v>
      </c>
      <c r="J250" s="394">
        <v>-2204290</v>
      </c>
      <c r="K250" s="392">
        <v>853487.96039531846</v>
      </c>
      <c r="L250" s="392">
        <v>422888.78503709671</v>
      </c>
      <c r="M250" s="15">
        <v>1276376.745432415</v>
      </c>
      <c r="N250" s="389">
        <v>-170200</v>
      </c>
      <c r="P250" s="715">
        <v>-3298455.1910877442</v>
      </c>
      <c r="Q250" s="716"/>
      <c r="R250" s="716"/>
      <c r="S250" s="717"/>
      <c r="T250" s="389">
        <v>3518020.0628498304</v>
      </c>
      <c r="U250" s="390">
        <v>609391.96949877497</v>
      </c>
      <c r="V250" s="395">
        <v>828956.84126086114</v>
      </c>
      <c r="W250" s="408">
        <v>111342.82656448103</v>
      </c>
      <c r="X250" s="177"/>
      <c r="Y250" s="177"/>
      <c r="Z250" s="15"/>
    </row>
    <row r="251" spans="1:26" x14ac:dyDescent="0.25">
      <c r="A251" s="108">
        <v>5842</v>
      </c>
      <c r="B251" s="116" t="s">
        <v>338</v>
      </c>
      <c r="C251" s="392">
        <v>-478298.45064664207</v>
      </c>
      <c r="D251" s="392">
        <v>0</v>
      </c>
      <c r="E251" s="393">
        <v>-35104.831068266343</v>
      </c>
      <c r="F251" s="389">
        <v>-513403.28171490843</v>
      </c>
      <c r="G251" s="392">
        <v>-181774</v>
      </c>
      <c r="H251" s="392">
        <v>-249737</v>
      </c>
      <c r="I251" s="392">
        <v>-19476</v>
      </c>
      <c r="J251" s="394">
        <v>-450987</v>
      </c>
      <c r="K251" s="392">
        <v>242756.68405898259</v>
      </c>
      <c r="L251" s="392">
        <v>61712.597871620455</v>
      </c>
      <c r="M251" s="15">
        <v>304469.28193060303</v>
      </c>
      <c r="N251" s="389">
        <v>0</v>
      </c>
      <c r="P251" s="715">
        <v>-659920.99978430546</v>
      </c>
      <c r="Q251" s="716"/>
      <c r="R251" s="716"/>
      <c r="S251" s="717"/>
      <c r="T251" s="389">
        <v>513388.30710277526</v>
      </c>
      <c r="U251" s="390">
        <v>78194.517869483097</v>
      </c>
      <c r="V251" s="395">
        <v>-68338.174812047102</v>
      </c>
      <c r="W251" s="408">
        <v>16248.373862789094</v>
      </c>
      <c r="X251" s="177"/>
      <c r="Y251" s="177"/>
      <c r="Z251" s="15"/>
    </row>
    <row r="252" spans="1:26" x14ac:dyDescent="0.25">
      <c r="A252" s="108">
        <v>5843</v>
      </c>
      <c r="B252" s="116" t="s">
        <v>339</v>
      </c>
      <c r="C252" s="392">
        <v>2812877.1083961874</v>
      </c>
      <c r="D252" s="392">
        <v>0</v>
      </c>
      <c r="E252" s="393">
        <v>867082.68885568995</v>
      </c>
      <c r="F252" s="389">
        <v>3679959.7972518774</v>
      </c>
      <c r="G252" s="392">
        <v>-369654</v>
      </c>
      <c r="H252" s="392">
        <v>-343230</v>
      </c>
      <c r="I252" s="392">
        <v>0</v>
      </c>
      <c r="J252" s="394">
        <v>-712884</v>
      </c>
      <c r="K252" s="392">
        <v>365282.26939688122</v>
      </c>
      <c r="L252" s="392">
        <v>92860.544245387311</v>
      </c>
      <c r="M252" s="15">
        <v>458142.81364226853</v>
      </c>
      <c r="N252" s="389">
        <v>0</v>
      </c>
      <c r="P252" s="715">
        <v>3425218.6108941459</v>
      </c>
      <c r="Q252" s="716"/>
      <c r="R252" s="716"/>
      <c r="S252" s="717"/>
      <c r="T252" s="389">
        <v>772508.68138716277</v>
      </c>
      <c r="U252" s="390">
        <v>117661.31611362674</v>
      </c>
      <c r="V252" s="395">
        <v>4315388.6083949357</v>
      </c>
      <c r="W252" s="408">
        <v>24449.348950435007</v>
      </c>
      <c r="X252" s="177"/>
      <c r="Y252" s="177"/>
      <c r="Z252" s="15"/>
    </row>
    <row r="253" spans="1:26" x14ac:dyDescent="0.25">
      <c r="A253" s="108">
        <v>5851</v>
      </c>
      <c r="B253" s="116" t="s">
        <v>340</v>
      </c>
      <c r="C253" s="392">
        <v>49649.784556354854</v>
      </c>
      <c r="D253" s="392">
        <v>0</v>
      </c>
      <c r="E253" s="393">
        <v>243906.71197462612</v>
      </c>
      <c r="F253" s="389">
        <v>293556.49653098098</v>
      </c>
      <c r="G253" s="392">
        <v>0</v>
      </c>
      <c r="H253" s="392">
        <v>0</v>
      </c>
      <c r="I253" s="392">
        <v>0</v>
      </c>
      <c r="J253" s="394">
        <v>0</v>
      </c>
      <c r="K253" s="392">
        <v>197784.74636941683</v>
      </c>
      <c r="L253" s="392">
        <v>50280.018303721015</v>
      </c>
      <c r="M253" s="15">
        <v>248064.76467313783</v>
      </c>
      <c r="N253" s="389">
        <v>0</v>
      </c>
      <c r="P253" s="715">
        <v>541621.26120411884</v>
      </c>
      <c r="Q253" s="716"/>
      <c r="R253" s="716"/>
      <c r="S253" s="717"/>
      <c r="T253" s="389">
        <v>418280.45436917985</v>
      </c>
      <c r="U253" s="390">
        <v>63708.576940921004</v>
      </c>
      <c r="V253" s="395">
        <v>1023610.2925142198</v>
      </c>
      <c r="W253" s="408">
        <v>13238.278137735537</v>
      </c>
      <c r="X253" s="177"/>
      <c r="Y253" s="177"/>
      <c r="Z253" s="15"/>
    </row>
    <row r="254" spans="1:26" x14ac:dyDescent="0.25">
      <c r="A254" s="108">
        <v>5852</v>
      </c>
      <c r="B254" s="116" t="s">
        <v>341</v>
      </c>
      <c r="C254" s="392">
        <v>580366.84892561741</v>
      </c>
      <c r="D254" s="392">
        <v>0</v>
      </c>
      <c r="E254" s="393">
        <v>-39212.156534152753</v>
      </c>
      <c r="F254" s="389">
        <v>541154.6923914646</v>
      </c>
      <c r="G254" s="392">
        <v>0</v>
      </c>
      <c r="H254" s="392">
        <v>0</v>
      </c>
      <c r="I254" s="392">
        <v>-26888</v>
      </c>
      <c r="J254" s="394">
        <v>-26888</v>
      </c>
      <c r="K254" s="392">
        <v>239085.5054720793</v>
      </c>
      <c r="L254" s="392">
        <v>60779.326070159281</v>
      </c>
      <c r="M254" s="15">
        <v>299864.83154223859</v>
      </c>
      <c r="N254" s="389">
        <v>0</v>
      </c>
      <c r="P254" s="715">
        <v>814131.5239337032</v>
      </c>
      <c r="Q254" s="716"/>
      <c r="R254" s="716"/>
      <c r="S254" s="717"/>
      <c r="T254" s="389">
        <v>505624.40075717564</v>
      </c>
      <c r="U254" s="390">
        <v>77011.992079396397</v>
      </c>
      <c r="V254" s="395">
        <v>1396767.9167702754</v>
      </c>
      <c r="W254" s="408">
        <v>16002.651762784722</v>
      </c>
      <c r="X254" s="177"/>
      <c r="Y254" s="177"/>
      <c r="Z254" s="15"/>
    </row>
    <row r="255" spans="1:26" x14ac:dyDescent="0.25">
      <c r="A255" s="108">
        <v>5853</v>
      </c>
      <c r="B255" s="116" t="s">
        <v>342</v>
      </c>
      <c r="C255" s="392">
        <v>278769.08385915298</v>
      </c>
      <c r="D255" s="392">
        <v>0</v>
      </c>
      <c r="E255" s="393">
        <v>35441.623855690006</v>
      </c>
      <c r="F255" s="389">
        <v>314210.70771484298</v>
      </c>
      <c r="G255" s="392">
        <v>0</v>
      </c>
      <c r="H255" s="392">
        <v>0</v>
      </c>
      <c r="I255" s="392">
        <v>0</v>
      </c>
      <c r="J255" s="394">
        <v>0</v>
      </c>
      <c r="K255" s="392">
        <v>365282.26939688122</v>
      </c>
      <c r="L255" s="392">
        <v>92860.544245387311</v>
      </c>
      <c r="M255" s="15">
        <v>458142.81364226853</v>
      </c>
      <c r="N255" s="389">
        <v>0</v>
      </c>
      <c r="P255" s="715">
        <v>772353.52135711152</v>
      </c>
      <c r="Q255" s="716"/>
      <c r="R255" s="716"/>
      <c r="S255" s="717"/>
      <c r="T255" s="389">
        <v>772508.68138716277</v>
      </c>
      <c r="U255" s="390">
        <v>117661.31611362674</v>
      </c>
      <c r="V255" s="395">
        <v>1662523.5188579012</v>
      </c>
      <c r="W255" s="408">
        <v>24449.348950435007</v>
      </c>
      <c r="X255" s="177"/>
      <c r="Y255" s="177"/>
      <c r="Z255" s="15"/>
    </row>
    <row r="256" spans="1:26" x14ac:dyDescent="0.25">
      <c r="A256" s="108">
        <v>5854</v>
      </c>
      <c r="B256" s="116" t="s">
        <v>343</v>
      </c>
      <c r="C256" s="392">
        <v>-155033.0420208624</v>
      </c>
      <c r="D256" s="392">
        <v>0</v>
      </c>
      <c r="E256" s="393">
        <v>-53419.043506853923</v>
      </c>
      <c r="F256" s="389">
        <v>-208452.08552771632</v>
      </c>
      <c r="G256" s="392">
        <v>-25269</v>
      </c>
      <c r="H256" s="392">
        <v>-11006</v>
      </c>
      <c r="I256" s="392">
        <v>-4839</v>
      </c>
      <c r="J256" s="394">
        <v>-41114</v>
      </c>
      <c r="K256" s="392">
        <v>189065.69722552141</v>
      </c>
      <c r="L256" s="392">
        <v>48063.497775250718</v>
      </c>
      <c r="M256" s="15">
        <v>237129.19500077213</v>
      </c>
      <c r="N256" s="389">
        <v>0</v>
      </c>
      <c r="P256" s="715">
        <v>-12436.890526944189</v>
      </c>
      <c r="Q256" s="716"/>
      <c r="R256" s="716"/>
      <c r="S256" s="717"/>
      <c r="T256" s="389">
        <v>399841.17679838074</v>
      </c>
      <c r="U256" s="390">
        <v>60900.078189465101</v>
      </c>
      <c r="V256" s="395">
        <v>448304.36446090165</v>
      </c>
      <c r="W256" s="408">
        <v>12654.688150225154</v>
      </c>
      <c r="X256" s="177"/>
      <c r="Y256" s="177"/>
      <c r="Z256" s="15"/>
    </row>
    <row r="257" spans="1:26" x14ac:dyDescent="0.25">
      <c r="A257" s="108">
        <v>5855</v>
      </c>
      <c r="B257" s="116" t="s">
        <v>344</v>
      </c>
      <c r="C257" s="392">
        <v>2608931.1561635393</v>
      </c>
      <c r="D257" s="392">
        <v>0</v>
      </c>
      <c r="E257" s="393">
        <v>37745.456805020207</v>
      </c>
      <c r="F257" s="389">
        <v>2646676.6129685594</v>
      </c>
      <c r="G257" s="392">
        <v>0</v>
      </c>
      <c r="H257" s="392">
        <v>0</v>
      </c>
      <c r="I257" s="392">
        <v>0</v>
      </c>
      <c r="J257" s="394">
        <v>0</v>
      </c>
      <c r="K257" s="392">
        <v>290023.10836536298</v>
      </c>
      <c r="L257" s="392">
        <v>73728.47231543313</v>
      </c>
      <c r="M257" s="15">
        <v>363751.58068079612</v>
      </c>
      <c r="N257" s="389">
        <v>0</v>
      </c>
      <c r="P257" s="715">
        <v>3010428.1936493553</v>
      </c>
      <c r="Q257" s="716"/>
      <c r="R257" s="716"/>
      <c r="S257" s="717"/>
      <c r="T257" s="389">
        <v>613348.60130237043</v>
      </c>
      <c r="U257" s="390">
        <v>93419.537416849373</v>
      </c>
      <c r="V257" s="395">
        <v>3717196.332368575</v>
      </c>
      <c r="W257" s="408">
        <v>19412.045900345383</v>
      </c>
      <c r="X257" s="177"/>
      <c r="Y257" s="177"/>
      <c r="Z257" s="15"/>
    </row>
    <row r="258" spans="1:26" x14ac:dyDescent="0.25">
      <c r="A258" s="108">
        <v>5856</v>
      </c>
      <c r="B258" s="116" t="s">
        <v>345</v>
      </c>
      <c r="C258" s="392">
        <v>141475.34734344968</v>
      </c>
      <c r="D258" s="392">
        <v>0</v>
      </c>
      <c r="E258" s="393">
        <v>-14776.885274912172</v>
      </c>
      <c r="F258" s="389">
        <v>126698.46206853751</v>
      </c>
      <c r="G258" s="392">
        <v>-10375</v>
      </c>
      <c r="H258" s="392">
        <v>-5517</v>
      </c>
      <c r="I258" s="392">
        <v>-33732</v>
      </c>
      <c r="J258" s="394">
        <v>-49624</v>
      </c>
      <c r="K258" s="392">
        <v>352433.14434271958</v>
      </c>
      <c r="L258" s="392">
        <v>89594.092940273171</v>
      </c>
      <c r="M258" s="15">
        <v>442027.23728299275</v>
      </c>
      <c r="N258" s="389">
        <v>0</v>
      </c>
      <c r="P258" s="715">
        <v>519101.69935153029</v>
      </c>
      <c r="Q258" s="716"/>
      <c r="R258" s="716"/>
      <c r="S258" s="717"/>
      <c r="T258" s="389">
        <v>745335.00917756406</v>
      </c>
      <c r="U258" s="390">
        <v>113522.47584832329</v>
      </c>
      <c r="V258" s="395">
        <v>1377959.1843774174</v>
      </c>
      <c r="W258" s="408">
        <v>23589.321600419706</v>
      </c>
      <c r="X258" s="177"/>
      <c r="Y258" s="177"/>
      <c r="Z258" s="15"/>
    </row>
    <row r="259" spans="1:26" x14ac:dyDescent="0.25">
      <c r="A259" s="108">
        <v>5857</v>
      </c>
      <c r="B259" s="116" t="s">
        <v>346</v>
      </c>
      <c r="C259" s="392">
        <v>1127992.4972134053</v>
      </c>
      <c r="D259" s="392">
        <v>0</v>
      </c>
      <c r="E259" s="393">
        <v>-134193.65472720764</v>
      </c>
      <c r="F259" s="389">
        <v>993798.84248619771</v>
      </c>
      <c r="G259" s="392">
        <v>0</v>
      </c>
      <c r="H259" s="392">
        <v>-1998</v>
      </c>
      <c r="I259" s="392">
        <v>0</v>
      </c>
      <c r="J259" s="394">
        <v>-1998</v>
      </c>
      <c r="K259" s="392">
        <v>563338.68549145851</v>
      </c>
      <c r="L259" s="392">
        <v>172071.98839440488</v>
      </c>
      <c r="M259" s="15">
        <v>735410.67388586339</v>
      </c>
      <c r="N259" s="389">
        <v>0</v>
      </c>
      <c r="P259" s="715">
        <v>1727211.5163720611</v>
      </c>
      <c r="Q259" s="716"/>
      <c r="R259" s="716"/>
      <c r="S259" s="717"/>
      <c r="T259" s="389">
        <v>1431470.232469931</v>
      </c>
      <c r="U259" s="390">
        <v>229922.99634680172</v>
      </c>
      <c r="V259" s="395">
        <v>3388604.7451887936</v>
      </c>
      <c r="W259" s="408">
        <v>45305.012188306071</v>
      </c>
      <c r="X259" s="177"/>
      <c r="Y259" s="177"/>
      <c r="Z259" s="15"/>
    </row>
    <row r="260" spans="1:26" x14ac:dyDescent="0.25">
      <c r="A260" s="108">
        <v>5858</v>
      </c>
      <c r="B260" s="116" t="s">
        <v>347</v>
      </c>
      <c r="C260" s="392">
        <v>182985.69917499469</v>
      </c>
      <c r="D260" s="392">
        <v>0</v>
      </c>
      <c r="E260" s="393">
        <v>102730.90725531282</v>
      </c>
      <c r="F260" s="389">
        <v>285716.6064303075</v>
      </c>
      <c r="G260" s="392">
        <v>0</v>
      </c>
      <c r="H260" s="392">
        <v>0</v>
      </c>
      <c r="I260" s="392">
        <v>-17649</v>
      </c>
      <c r="J260" s="394">
        <v>-17649</v>
      </c>
      <c r="K260" s="392">
        <v>288646.41639527422</v>
      </c>
      <c r="L260" s="392">
        <v>73378.495389885196</v>
      </c>
      <c r="M260" s="15">
        <v>362024.91178515943</v>
      </c>
      <c r="N260" s="389">
        <v>0</v>
      </c>
      <c r="P260" s="715">
        <v>630092.51821546699</v>
      </c>
      <c r="Q260" s="716"/>
      <c r="R260" s="716"/>
      <c r="S260" s="717"/>
      <c r="T260" s="389">
        <v>610437.13642277056</v>
      </c>
      <c r="U260" s="390">
        <v>92976.090245566855</v>
      </c>
      <c r="V260" s="395">
        <v>1333505.7448838043</v>
      </c>
      <c r="W260" s="408">
        <v>19319.900112843741</v>
      </c>
      <c r="X260" s="177"/>
      <c r="Y260" s="177"/>
      <c r="Z260" s="15"/>
    </row>
    <row r="261" spans="1:26" x14ac:dyDescent="0.25">
      <c r="A261" s="108">
        <v>5859</v>
      </c>
      <c r="B261" s="116" t="s">
        <v>348</v>
      </c>
      <c r="C261" s="392">
        <v>2582967.6399603193</v>
      </c>
      <c r="D261" s="392">
        <v>0</v>
      </c>
      <c r="E261" s="393">
        <v>1965.0221284433501</v>
      </c>
      <c r="F261" s="389">
        <v>2584932.6620887625</v>
      </c>
      <c r="G261" s="392">
        <v>0</v>
      </c>
      <c r="H261" s="392">
        <v>-658</v>
      </c>
      <c r="I261" s="392">
        <v>0</v>
      </c>
      <c r="J261" s="394">
        <v>-658</v>
      </c>
      <c r="K261" s="392">
        <v>851157.09186253627</v>
      </c>
      <c r="L261" s="392">
        <v>324778.58690849028</v>
      </c>
      <c r="M261" s="15">
        <v>1175935.6787710264</v>
      </c>
      <c r="N261" s="389">
        <v>0</v>
      </c>
      <c r="P261" s="715">
        <v>3760210.3408597889</v>
      </c>
      <c r="Q261" s="716"/>
      <c r="R261" s="716"/>
      <c r="S261" s="717"/>
      <c r="T261" s="389">
        <v>2701839.4082686696</v>
      </c>
      <c r="U261" s="390">
        <v>456193.35385212174</v>
      </c>
      <c r="V261" s="395">
        <v>6918243.1029805811</v>
      </c>
      <c r="W261" s="408">
        <v>85511.290801521434</v>
      </c>
      <c r="X261" s="177"/>
      <c r="Y261" s="177"/>
      <c r="Z261" s="15"/>
    </row>
    <row r="262" spans="1:26" x14ac:dyDescent="0.25">
      <c r="A262" s="108">
        <v>5860</v>
      </c>
      <c r="B262" s="116" t="s">
        <v>349</v>
      </c>
      <c r="C262" s="392">
        <v>1890606.3089791744</v>
      </c>
      <c r="D262" s="392">
        <v>0</v>
      </c>
      <c r="E262" s="393">
        <v>-49357.766822733713</v>
      </c>
      <c r="F262" s="389">
        <v>1841248.5421564407</v>
      </c>
      <c r="G262" s="392">
        <v>0</v>
      </c>
      <c r="H262" s="392">
        <v>0</v>
      </c>
      <c r="I262" s="392">
        <v>0</v>
      </c>
      <c r="J262" s="394">
        <v>0</v>
      </c>
      <c r="K262" s="392">
        <v>590823.25447265385</v>
      </c>
      <c r="L262" s="392">
        <v>186654.3602922358</v>
      </c>
      <c r="M262" s="15">
        <v>777477.6147648897</v>
      </c>
      <c r="N262" s="389">
        <v>0</v>
      </c>
      <c r="P262" s="715">
        <v>2618726.1569213304</v>
      </c>
      <c r="Q262" s="716"/>
      <c r="R262" s="716"/>
      <c r="S262" s="717"/>
      <c r="T262" s="389">
        <v>1552781.2691199251</v>
      </c>
      <c r="U262" s="390">
        <v>251530.17334310809</v>
      </c>
      <c r="V262" s="395">
        <v>4423037.5993843637</v>
      </c>
      <c r="W262" s="408">
        <v>49144.420000874386</v>
      </c>
      <c r="X262" s="177"/>
      <c r="Y262" s="177"/>
      <c r="Z262" s="15"/>
    </row>
    <row r="263" spans="1:26" x14ac:dyDescent="0.25">
      <c r="A263" s="108">
        <v>5861</v>
      </c>
      <c r="B263" s="116" t="s">
        <v>350</v>
      </c>
      <c r="C263" s="392">
        <v>14441546.380920921</v>
      </c>
      <c r="D263" s="392">
        <v>0</v>
      </c>
      <c r="E263" s="393">
        <v>550125.35142056225</v>
      </c>
      <c r="F263" s="389">
        <v>14991671.732341483</v>
      </c>
      <c r="G263" s="392">
        <v>0</v>
      </c>
      <c r="H263" s="392">
        <v>0</v>
      </c>
      <c r="I263" s="392">
        <v>0</v>
      </c>
      <c r="J263" s="394">
        <v>0</v>
      </c>
      <c r="K263" s="392">
        <v>649136.83122172765</v>
      </c>
      <c r="L263" s="392">
        <v>597613.30685362348</v>
      </c>
      <c r="M263" s="15">
        <v>1246750.1380753512</v>
      </c>
      <c r="N263" s="389">
        <v>0</v>
      </c>
      <c r="P263" s="715">
        <v>16238421.870416835</v>
      </c>
      <c r="Q263" s="716"/>
      <c r="R263" s="716"/>
      <c r="S263" s="717"/>
      <c r="T263" s="389">
        <v>6262560.9560192982</v>
      </c>
      <c r="U263" s="390">
        <v>1151834.4840378866</v>
      </c>
      <c r="V263" s="395">
        <v>23652817.310474019</v>
      </c>
      <c r="W263" s="408">
        <v>198205.58891602649</v>
      </c>
      <c r="X263" s="177"/>
      <c r="Y263" s="177"/>
      <c r="Z263" s="15"/>
    </row>
    <row r="264" spans="1:26" x14ac:dyDescent="0.25">
      <c r="A264" s="108">
        <v>5862</v>
      </c>
      <c r="B264" s="116" t="s">
        <v>351</v>
      </c>
      <c r="C264" s="392">
        <v>-31960.40847394861</v>
      </c>
      <c r="D264" s="392">
        <v>0</v>
      </c>
      <c r="E264" s="393">
        <v>-17611.524191052144</v>
      </c>
      <c r="F264" s="389">
        <v>-49571.932665000757</v>
      </c>
      <c r="G264" s="392">
        <v>0</v>
      </c>
      <c r="H264" s="392">
        <v>0</v>
      </c>
      <c r="I264" s="392">
        <v>0</v>
      </c>
      <c r="J264" s="394">
        <v>0</v>
      </c>
      <c r="K264" s="392">
        <v>114724.330840729</v>
      </c>
      <c r="L264" s="392">
        <v>29164.743795661841</v>
      </c>
      <c r="M264" s="15">
        <v>143889.07463639084</v>
      </c>
      <c r="N264" s="389">
        <v>0</v>
      </c>
      <c r="P264" s="715">
        <v>94317.141971390083</v>
      </c>
      <c r="Q264" s="716"/>
      <c r="R264" s="716"/>
      <c r="S264" s="717"/>
      <c r="T264" s="389">
        <v>242622.07329998829</v>
      </c>
      <c r="U264" s="390">
        <v>36953.9309402094</v>
      </c>
      <c r="V264" s="395">
        <v>373893.14621158782</v>
      </c>
      <c r="W264" s="408">
        <v>7678.8156251366227</v>
      </c>
      <c r="X264" s="177"/>
      <c r="Y264" s="177"/>
      <c r="Z264" s="15"/>
    </row>
    <row r="265" spans="1:26" x14ac:dyDescent="0.25">
      <c r="A265" s="108">
        <v>5863</v>
      </c>
      <c r="B265" s="116" t="s">
        <v>352</v>
      </c>
      <c r="C265" s="392">
        <v>216725.55873805846</v>
      </c>
      <c r="D265" s="392">
        <v>0</v>
      </c>
      <c r="E265" s="393">
        <v>-37848.492187163472</v>
      </c>
      <c r="F265" s="389">
        <v>178877.06655089499</v>
      </c>
      <c r="G265" s="392">
        <v>0</v>
      </c>
      <c r="H265" s="392">
        <v>0</v>
      </c>
      <c r="I265" s="392">
        <v>0</v>
      </c>
      <c r="J265" s="394">
        <v>0</v>
      </c>
      <c r="K265" s="392">
        <v>174839.88020127104</v>
      </c>
      <c r="L265" s="392">
        <v>44447.069544588645</v>
      </c>
      <c r="M265" s="15">
        <v>219286.94974585969</v>
      </c>
      <c r="N265" s="389">
        <v>0</v>
      </c>
      <c r="P265" s="715">
        <v>398164.01629675471</v>
      </c>
      <c r="Q265" s="716"/>
      <c r="R265" s="716"/>
      <c r="S265" s="717"/>
      <c r="T265" s="389">
        <v>369756.03970918217</v>
      </c>
      <c r="U265" s="390">
        <v>56317.790752879126</v>
      </c>
      <c r="V265" s="395">
        <v>824237.84675881593</v>
      </c>
      <c r="W265" s="408">
        <v>11702.515012708212</v>
      </c>
      <c r="X265" s="177"/>
      <c r="Y265" s="177"/>
      <c r="Z265" s="15"/>
    </row>
    <row r="266" spans="1:26" x14ac:dyDescent="0.25">
      <c r="A266" s="108">
        <v>5871</v>
      </c>
      <c r="B266" s="116" t="s">
        <v>353</v>
      </c>
      <c r="C266" s="392">
        <v>-1270399.4949702213</v>
      </c>
      <c r="D266" s="392">
        <v>0</v>
      </c>
      <c r="E266" s="393">
        <v>97134.938083704095</v>
      </c>
      <c r="F266" s="389">
        <v>-1173264.5568865172</v>
      </c>
      <c r="G266" s="392">
        <v>-206290</v>
      </c>
      <c r="H266" s="392">
        <v>-182840</v>
      </c>
      <c r="I266" s="392">
        <v>0</v>
      </c>
      <c r="J266" s="394">
        <v>-389130</v>
      </c>
      <c r="K266" s="392">
        <v>576311.40205058269</v>
      </c>
      <c r="L266" s="392">
        <v>178954.86793018106</v>
      </c>
      <c r="M266" s="15">
        <v>755266.26998076378</v>
      </c>
      <c r="N266" s="389">
        <v>0</v>
      </c>
      <c r="P266" s="715">
        <v>-807128.28690575343</v>
      </c>
      <c r="Q266" s="716"/>
      <c r="R266" s="716"/>
      <c r="S266" s="717"/>
      <c r="T266" s="389">
        <v>1488729.0417687283</v>
      </c>
      <c r="U266" s="390">
        <v>240121.58388905833</v>
      </c>
      <c r="V266" s="395">
        <v>921722.33875203319</v>
      </c>
      <c r="W266" s="408">
        <v>47117.212675838316</v>
      </c>
      <c r="X266" s="177"/>
      <c r="Y266" s="177"/>
      <c r="Z266" s="15"/>
    </row>
    <row r="267" spans="1:26" x14ac:dyDescent="0.25">
      <c r="A267" s="108">
        <v>5872</v>
      </c>
      <c r="B267" s="116" t="s">
        <v>354</v>
      </c>
      <c r="C267" s="392">
        <v>4809656.604374419</v>
      </c>
      <c r="D267" s="392">
        <v>0</v>
      </c>
      <c r="E267" s="393">
        <v>1447875.4544070493</v>
      </c>
      <c r="F267" s="389">
        <v>6257532.0587814683</v>
      </c>
      <c r="G267" s="392">
        <v>-646249</v>
      </c>
      <c r="H267" s="392">
        <v>-349643</v>
      </c>
      <c r="I267" s="392">
        <v>0</v>
      </c>
      <c r="J267" s="394">
        <v>-995892</v>
      </c>
      <c r="K267" s="392">
        <v>774941.39836855326</v>
      </c>
      <c r="L267" s="392">
        <v>549697.09106063435</v>
      </c>
      <c r="M267" s="15">
        <v>1324638.4894291875</v>
      </c>
      <c r="N267" s="389">
        <v>-61200</v>
      </c>
      <c r="P267" s="715">
        <v>6525078.5482106563</v>
      </c>
      <c r="Q267" s="716"/>
      <c r="R267" s="716"/>
      <c r="S267" s="717"/>
      <c r="T267" s="389">
        <v>4572940.8375581792</v>
      </c>
      <c r="U267" s="390">
        <v>810898.1403745797</v>
      </c>
      <c r="V267" s="395">
        <v>11908917.526143415</v>
      </c>
      <c r="W267" s="408">
        <v>144730.31690257505</v>
      </c>
      <c r="X267" s="177"/>
      <c r="Y267" s="177"/>
      <c r="Z267" s="15"/>
    </row>
    <row r="268" spans="1:26" x14ac:dyDescent="0.25">
      <c r="A268" s="108">
        <v>5873</v>
      </c>
      <c r="B268" s="116" t="s">
        <v>355</v>
      </c>
      <c r="C268" s="392">
        <v>-653796.58983358217</v>
      </c>
      <c r="D268" s="392">
        <v>0</v>
      </c>
      <c r="E268" s="393">
        <v>180624.89674457017</v>
      </c>
      <c r="F268" s="389">
        <v>-473171.693089012</v>
      </c>
      <c r="G268" s="392">
        <v>-262104</v>
      </c>
      <c r="H268" s="392">
        <v>-65398</v>
      </c>
      <c r="I268" s="392">
        <v>0</v>
      </c>
      <c r="J268" s="394">
        <v>-327502</v>
      </c>
      <c r="K268" s="392">
        <v>417596.56426025362</v>
      </c>
      <c r="L268" s="392">
        <v>106159.66741620911</v>
      </c>
      <c r="M268" s="15">
        <v>523756.23167646275</v>
      </c>
      <c r="N268" s="389">
        <v>-288100</v>
      </c>
      <c r="P268" s="715">
        <v>-565017.46141254925</v>
      </c>
      <c r="Q268" s="716"/>
      <c r="R268" s="716"/>
      <c r="S268" s="717"/>
      <c r="T268" s="389">
        <v>883144.34681195742</v>
      </c>
      <c r="U268" s="390">
        <v>134512.30862236221</v>
      </c>
      <c r="V268" s="395">
        <v>452639.19402177038</v>
      </c>
      <c r="W268" s="408">
        <v>27950.888875497305</v>
      </c>
      <c r="X268" s="177"/>
      <c r="Y268" s="177"/>
      <c r="Z268" s="15"/>
    </row>
    <row r="269" spans="1:26" x14ac:dyDescent="0.25">
      <c r="A269" s="108">
        <v>5882</v>
      </c>
      <c r="B269" s="116" t="s">
        <v>356</v>
      </c>
      <c r="C269" s="392">
        <v>1799437.536392072</v>
      </c>
      <c r="D269" s="392">
        <v>0</v>
      </c>
      <c r="E269" s="393">
        <v>582564.95323367172</v>
      </c>
      <c r="F269" s="389">
        <v>2382002.4896257436</v>
      </c>
      <c r="G269" s="392">
        <v>0</v>
      </c>
      <c r="H269" s="392">
        <v>-205105</v>
      </c>
      <c r="I269" s="392">
        <v>0</v>
      </c>
      <c r="J269" s="394">
        <v>-205105</v>
      </c>
      <c r="K269" s="392">
        <v>881091.26002201973</v>
      </c>
      <c r="L269" s="392">
        <v>378325.0565173254</v>
      </c>
      <c r="M269" s="15">
        <v>1259416.3165393451</v>
      </c>
      <c r="N269" s="389">
        <v>0</v>
      </c>
      <c r="P269" s="715">
        <v>3436313.8061650889</v>
      </c>
      <c r="Q269" s="716"/>
      <c r="R269" s="716"/>
      <c r="S269" s="717"/>
      <c r="T269" s="389">
        <v>3147293.5348474481</v>
      </c>
      <c r="U269" s="390">
        <v>99609.596289272275</v>
      </c>
      <c r="V269" s="395">
        <v>6683216.9373018099</v>
      </c>
      <c r="W269" s="408">
        <v>99609.596289272275</v>
      </c>
      <c r="X269" s="177"/>
      <c r="Y269" s="177"/>
      <c r="Z269" s="15"/>
    </row>
    <row r="270" spans="1:26" x14ac:dyDescent="0.25">
      <c r="A270" s="108">
        <v>5883</v>
      </c>
      <c r="B270" s="116" t="s">
        <v>357</v>
      </c>
      <c r="C270" s="392">
        <v>3082092.274452548</v>
      </c>
      <c r="D270" s="392">
        <v>0</v>
      </c>
      <c r="E270" s="393">
        <v>381315.87558851624</v>
      </c>
      <c r="F270" s="389">
        <v>3463408.1500410642</v>
      </c>
      <c r="G270" s="392">
        <v>0</v>
      </c>
      <c r="H270" s="392">
        <v>0</v>
      </c>
      <c r="I270" s="392">
        <v>0</v>
      </c>
      <c r="J270" s="394">
        <v>0</v>
      </c>
      <c r="K270" s="392">
        <v>753312.02628948074</v>
      </c>
      <c r="L270" s="392">
        <v>95755.542952212214</v>
      </c>
      <c r="M270" s="15">
        <v>849067.56924169301</v>
      </c>
      <c r="N270" s="389">
        <v>0</v>
      </c>
      <c r="P270" s="715">
        <v>4312475.7192827575</v>
      </c>
      <c r="Q270" s="716"/>
      <c r="R270" s="716"/>
      <c r="S270" s="717"/>
      <c r="T270" s="389">
        <v>2269972.1177946907</v>
      </c>
      <c r="U270" s="390">
        <v>71842.998988778243</v>
      </c>
      <c r="V270" s="395">
        <v>6654290.8360662265</v>
      </c>
      <c r="W270" s="408">
        <v>71842.998988778243</v>
      </c>
      <c r="X270" s="177"/>
      <c r="Y270" s="177"/>
      <c r="Z270" s="15"/>
    </row>
    <row r="271" spans="1:26" x14ac:dyDescent="0.25">
      <c r="A271" s="108">
        <v>5884</v>
      </c>
      <c r="B271" s="116" t="s">
        <v>358</v>
      </c>
      <c r="C271" s="392">
        <v>-1058527.5222951004</v>
      </c>
      <c r="D271" s="392">
        <v>0</v>
      </c>
      <c r="E271" s="393">
        <v>-23933.954684471246</v>
      </c>
      <c r="F271" s="389">
        <v>-1082461.4769795716</v>
      </c>
      <c r="G271" s="392">
        <v>0</v>
      </c>
      <c r="H271" s="392">
        <v>-165175</v>
      </c>
      <c r="I271" s="392">
        <v>0</v>
      </c>
      <c r="J271" s="394">
        <v>-165175</v>
      </c>
      <c r="K271" s="392">
        <v>867650.90994200297</v>
      </c>
      <c r="L271" s="392">
        <v>-79966.174098702148</v>
      </c>
      <c r="M271" s="15">
        <v>787684.73584330082</v>
      </c>
      <c r="N271" s="389">
        <v>0</v>
      </c>
      <c r="P271" s="715">
        <v>-459951.74113627081</v>
      </c>
      <c r="Q271" s="716"/>
      <c r="R271" s="716"/>
      <c r="S271" s="717"/>
      <c r="T271" s="389">
        <v>3327804.3573826393</v>
      </c>
      <c r="U271" s="390">
        <v>105322.63511437392</v>
      </c>
      <c r="V271" s="395">
        <v>2973175.2513607428</v>
      </c>
      <c r="W271" s="408">
        <v>105322.63511437392</v>
      </c>
      <c r="X271" s="177"/>
      <c r="Y271" s="177"/>
      <c r="Z271" s="15"/>
    </row>
    <row r="272" spans="1:26" x14ac:dyDescent="0.25">
      <c r="A272" s="108">
        <v>5885</v>
      </c>
      <c r="B272" s="116" t="s">
        <v>359</v>
      </c>
      <c r="C272" s="392">
        <v>264613.13391324377</v>
      </c>
      <c r="D272" s="392">
        <v>0</v>
      </c>
      <c r="E272" s="393">
        <v>5876.050446247973</v>
      </c>
      <c r="F272" s="389">
        <v>270489.18435949174</v>
      </c>
      <c r="G272" s="392">
        <v>0</v>
      </c>
      <c r="H272" s="392">
        <v>-21756</v>
      </c>
      <c r="I272" s="392">
        <v>0</v>
      </c>
      <c r="J272" s="394">
        <v>-21756</v>
      </c>
      <c r="K272" s="392">
        <v>660743.99796081474</v>
      </c>
      <c r="L272" s="392">
        <v>223751.91440031765</v>
      </c>
      <c r="M272" s="15">
        <v>884495.91236113245</v>
      </c>
      <c r="N272" s="389">
        <v>0</v>
      </c>
      <c r="P272" s="715">
        <v>1133229.0967206242</v>
      </c>
      <c r="Q272" s="716"/>
      <c r="R272" s="716"/>
      <c r="S272" s="717"/>
      <c r="T272" s="389">
        <v>1861396.5463575101</v>
      </c>
      <c r="U272" s="390">
        <v>58911.873476048168</v>
      </c>
      <c r="V272" s="395">
        <v>3053537.5165541824</v>
      </c>
      <c r="W272" s="408">
        <v>58911.873476048168</v>
      </c>
      <c r="X272" s="177"/>
      <c r="Y272" s="177"/>
      <c r="Z272" s="15"/>
    </row>
    <row r="273" spans="1:26" x14ac:dyDescent="0.25">
      <c r="A273" s="108">
        <v>5886</v>
      </c>
      <c r="B273" s="116" t="s">
        <v>360</v>
      </c>
      <c r="C273" s="392">
        <v>-6798073.3786769286</v>
      </c>
      <c r="D273" s="392">
        <v>0</v>
      </c>
      <c r="E273" s="393">
        <v>1175922.1234989353</v>
      </c>
      <c r="F273" s="389">
        <v>-5622151.2551779933</v>
      </c>
      <c r="G273" s="392">
        <v>0</v>
      </c>
      <c r="H273" s="392">
        <v>-603794</v>
      </c>
      <c r="I273" s="392">
        <v>0</v>
      </c>
      <c r="J273" s="394">
        <v>-603794</v>
      </c>
      <c r="K273" s="392">
        <v>-7363126.0937402863</v>
      </c>
      <c r="L273" s="392">
        <v>843747.91697670752</v>
      </c>
      <c r="M273" s="15">
        <v>-6519378.1767635792</v>
      </c>
      <c r="N273" s="389">
        <v>0</v>
      </c>
      <c r="P273" s="715">
        <v>-12745323.431941573</v>
      </c>
      <c r="Q273" s="716"/>
      <c r="R273" s="716"/>
      <c r="S273" s="717"/>
      <c r="T273" s="389">
        <v>26044994.324607145</v>
      </c>
      <c r="U273" s="390">
        <v>824305.49972716614</v>
      </c>
      <c r="V273" s="395">
        <v>14123976.392392738</v>
      </c>
      <c r="W273" s="408">
        <v>824305.49972716614</v>
      </c>
      <c r="X273" s="177"/>
      <c r="Y273" s="177"/>
      <c r="Z273" s="15"/>
    </row>
    <row r="274" spans="1:26" x14ac:dyDescent="0.25">
      <c r="A274" s="108">
        <v>5889</v>
      </c>
      <c r="B274" s="116" t="s">
        <v>361</v>
      </c>
      <c r="C274" s="392">
        <v>9008840.996825289</v>
      </c>
      <c r="D274" s="392">
        <v>0</v>
      </c>
      <c r="E274" s="393">
        <v>-850282.8253128489</v>
      </c>
      <c r="F274" s="389">
        <v>8158558.1715124398</v>
      </c>
      <c r="G274" s="392">
        <v>0</v>
      </c>
      <c r="H274" s="392">
        <v>0</v>
      </c>
      <c r="I274" s="392">
        <v>0</v>
      </c>
      <c r="J274" s="394">
        <v>0</v>
      </c>
      <c r="K274" s="392">
        <v>-36418.971948130056</v>
      </c>
      <c r="L274" s="392">
        <v>457451.78217727004</v>
      </c>
      <c r="M274" s="15">
        <v>421032.81022913998</v>
      </c>
      <c r="N274" s="389">
        <v>0</v>
      </c>
      <c r="P274" s="715">
        <v>8579590.9817415792</v>
      </c>
      <c r="Q274" s="716"/>
      <c r="R274" s="716"/>
      <c r="S274" s="717"/>
      <c r="T274" s="389">
        <v>12233004.935785411</v>
      </c>
      <c r="U274" s="390">
        <v>387165.88381938852</v>
      </c>
      <c r="V274" s="395">
        <v>21199761.80134638</v>
      </c>
      <c r="W274" s="408">
        <v>387165.88381938852</v>
      </c>
      <c r="X274" s="177"/>
      <c r="Y274" s="177"/>
      <c r="Z274" s="15"/>
    </row>
    <row r="275" spans="1:26" x14ac:dyDescent="0.25">
      <c r="A275" s="108">
        <v>5890</v>
      </c>
      <c r="B275" s="116" t="s">
        <v>362</v>
      </c>
      <c r="C275" s="392">
        <v>3195786.715774646</v>
      </c>
      <c r="D275" s="392">
        <v>0</v>
      </c>
      <c r="E275" s="393">
        <v>-1103274.5868826234</v>
      </c>
      <c r="F275" s="389">
        <v>2092512.1288920227</v>
      </c>
      <c r="G275" s="392">
        <v>0</v>
      </c>
      <c r="H275" s="392">
        <v>0</v>
      </c>
      <c r="I275" s="392">
        <v>0</v>
      </c>
      <c r="J275" s="394">
        <v>0</v>
      </c>
      <c r="K275" s="392">
        <v>-3863471.1835254729</v>
      </c>
      <c r="L275" s="392">
        <v>450109.44480625796</v>
      </c>
      <c r="M275" s="15">
        <v>-3413361.7387192147</v>
      </c>
      <c r="N275" s="389">
        <v>0</v>
      </c>
      <c r="P275" s="715">
        <v>-1320849.609827192</v>
      </c>
      <c r="Q275" s="716"/>
      <c r="R275" s="716"/>
      <c r="S275" s="717"/>
      <c r="T275" s="389">
        <v>19560191.549445055</v>
      </c>
      <c r="U275" s="390">
        <v>619066.11569851451</v>
      </c>
      <c r="V275" s="395">
        <v>18858408.055316381</v>
      </c>
      <c r="W275" s="408">
        <v>619066.11569851451</v>
      </c>
      <c r="X275" s="177"/>
      <c r="Y275" s="177"/>
      <c r="Z275" s="15"/>
    </row>
    <row r="276" spans="1:26" x14ac:dyDescent="0.25">
      <c r="A276" s="108">
        <v>5891</v>
      </c>
      <c r="B276" s="116" t="s">
        <v>363</v>
      </c>
      <c r="C276" s="392">
        <v>-157250.99826829112</v>
      </c>
      <c r="D276" s="392">
        <v>0</v>
      </c>
      <c r="E276" s="393">
        <v>42737.098686084064</v>
      </c>
      <c r="F276" s="389">
        <v>-114513.89958220706</v>
      </c>
      <c r="G276" s="392">
        <v>0</v>
      </c>
      <c r="H276" s="392">
        <v>-6692</v>
      </c>
      <c r="I276" s="392">
        <v>0</v>
      </c>
      <c r="J276" s="394">
        <v>-6692</v>
      </c>
      <c r="K276" s="392">
        <v>457520.63139282732</v>
      </c>
      <c r="L276" s="392">
        <v>20023.398257099427</v>
      </c>
      <c r="M276" s="15">
        <v>477544.02964992676</v>
      </c>
      <c r="N276" s="389">
        <v>-254100</v>
      </c>
      <c r="P276" s="715">
        <v>102238.13006771973</v>
      </c>
      <c r="Q276" s="716"/>
      <c r="R276" s="716"/>
      <c r="S276" s="717"/>
      <c r="T276" s="389">
        <v>967576.82832035329</v>
      </c>
      <c r="U276" s="390">
        <v>30623.116713044852</v>
      </c>
      <c r="V276" s="395">
        <v>1100438.0751011178</v>
      </c>
      <c r="W276" s="408">
        <v>30623.116713044852</v>
      </c>
      <c r="X276" s="177"/>
      <c r="Y276" s="177"/>
      <c r="Z276" s="15"/>
    </row>
    <row r="277" spans="1:26" x14ac:dyDescent="0.25">
      <c r="A277" s="108">
        <v>5892</v>
      </c>
      <c r="B277" s="116" t="s">
        <v>364</v>
      </c>
      <c r="C277" s="392">
        <v>6476300.3299165173</v>
      </c>
      <c r="D277" s="392">
        <v>0</v>
      </c>
      <c r="E277" s="393">
        <v>914874.34612966608</v>
      </c>
      <c r="F277" s="389">
        <v>7391174.6760461833</v>
      </c>
      <c r="G277" s="392">
        <v>0</v>
      </c>
      <c r="H277" s="392">
        <v>-215792</v>
      </c>
      <c r="I277" s="392">
        <v>0</v>
      </c>
      <c r="J277" s="394">
        <v>-215792</v>
      </c>
      <c r="K277" s="392">
        <v>88297.421336958185</v>
      </c>
      <c r="L277" s="392">
        <v>809485.35375386837</v>
      </c>
      <c r="M277" s="15">
        <v>897782.77509082656</v>
      </c>
      <c r="N277" s="389">
        <v>-324400</v>
      </c>
      <c r="P277" s="715">
        <v>7748765.45113701</v>
      </c>
      <c r="Q277" s="716"/>
      <c r="R277" s="716"/>
      <c r="S277" s="717"/>
      <c r="T277" s="389">
        <v>11975825.538087422</v>
      </c>
      <c r="U277" s="390">
        <v>379026.33925674367</v>
      </c>
      <c r="V277" s="395">
        <v>20103617.328481179</v>
      </c>
      <c r="W277" s="408">
        <v>379026.33925674367</v>
      </c>
      <c r="X277" s="177"/>
      <c r="Y277" s="177"/>
      <c r="Z277" s="15"/>
    </row>
    <row r="278" spans="1:26" x14ac:dyDescent="0.25">
      <c r="A278" s="108">
        <v>5902</v>
      </c>
      <c r="B278" s="116" t="s">
        <v>365</v>
      </c>
      <c r="C278" s="392">
        <v>-437848.02176375361</v>
      </c>
      <c r="D278" s="392">
        <v>0</v>
      </c>
      <c r="E278" s="393">
        <v>-58412.519826544391</v>
      </c>
      <c r="F278" s="389">
        <v>-496260.541590298</v>
      </c>
      <c r="G278" s="392">
        <v>-31716</v>
      </c>
      <c r="H278" s="392">
        <v>0</v>
      </c>
      <c r="I278" s="392">
        <v>-12952</v>
      </c>
      <c r="J278" s="394">
        <v>-44668</v>
      </c>
      <c r="K278" s="392">
        <v>203291.51424977183</v>
      </c>
      <c r="L278" s="392">
        <v>51679.926005912785</v>
      </c>
      <c r="M278" s="15">
        <v>254971.4402556846</v>
      </c>
      <c r="N278" s="389">
        <v>0</v>
      </c>
      <c r="P278" s="715">
        <v>-285957.10133461346</v>
      </c>
      <c r="Q278" s="716"/>
      <c r="R278" s="716"/>
      <c r="S278" s="717"/>
      <c r="T278" s="389">
        <v>429926.31388757925</v>
      </c>
      <c r="U278" s="390">
        <v>65482.365626051062</v>
      </c>
      <c r="V278" s="395">
        <v>209451.57817901685</v>
      </c>
      <c r="W278" s="408">
        <v>13606.861287742095</v>
      </c>
      <c r="X278" s="177"/>
      <c r="Y278" s="177"/>
      <c r="Z278" s="15"/>
    </row>
    <row r="279" spans="1:26" x14ac:dyDescent="0.25">
      <c r="A279" s="108">
        <v>5903</v>
      </c>
      <c r="B279" s="116" t="s">
        <v>366</v>
      </c>
      <c r="C279" s="392">
        <v>-324510.58974614169</v>
      </c>
      <c r="D279" s="392">
        <v>0</v>
      </c>
      <c r="E279" s="393">
        <v>-21715.259641344765</v>
      </c>
      <c r="F279" s="389">
        <v>-346225.84938748647</v>
      </c>
      <c r="G279" s="392">
        <v>-24175</v>
      </c>
      <c r="H279" s="392">
        <v>0</v>
      </c>
      <c r="I279" s="392">
        <v>-28852</v>
      </c>
      <c r="J279" s="394">
        <v>-53027</v>
      </c>
      <c r="K279" s="392">
        <v>116101.02281081778</v>
      </c>
      <c r="L279" s="392">
        <v>29514.720721209786</v>
      </c>
      <c r="M279" s="15">
        <v>145615.74353202758</v>
      </c>
      <c r="N279" s="389">
        <v>-105700</v>
      </c>
      <c r="P279" s="715">
        <v>-359337.10585545888</v>
      </c>
      <c r="Q279" s="716"/>
      <c r="R279" s="716"/>
      <c r="S279" s="717"/>
      <c r="T279" s="389">
        <v>245533.53817958815</v>
      </c>
      <c r="U279" s="390">
        <v>37397.378111491918</v>
      </c>
      <c r="V279" s="395">
        <v>-76406.189564378816</v>
      </c>
      <c r="W279" s="408">
        <v>7770.9614126382621</v>
      </c>
      <c r="X279" s="177"/>
      <c r="Y279" s="177"/>
      <c r="Z279" s="15"/>
    </row>
    <row r="280" spans="1:26" x14ac:dyDescent="0.25">
      <c r="A280" s="108">
        <v>5904</v>
      </c>
      <c r="B280" s="116" t="s">
        <v>367</v>
      </c>
      <c r="C280" s="392">
        <v>-501703.66579992819</v>
      </c>
      <c r="D280" s="392">
        <v>0</v>
      </c>
      <c r="E280" s="393">
        <v>-60936.589204721007</v>
      </c>
      <c r="F280" s="389">
        <v>-562640.25500464917</v>
      </c>
      <c r="G280" s="392">
        <v>0</v>
      </c>
      <c r="H280" s="392">
        <v>0</v>
      </c>
      <c r="I280" s="392">
        <v>0</v>
      </c>
      <c r="J280" s="394">
        <v>0</v>
      </c>
      <c r="K280" s="392">
        <v>257441.39840659592</v>
      </c>
      <c r="L280" s="392">
        <v>65445.685077465176</v>
      </c>
      <c r="M280" s="15">
        <v>322887.08348406112</v>
      </c>
      <c r="N280" s="389">
        <v>0</v>
      </c>
      <c r="P280" s="715">
        <v>-239753.17152058805</v>
      </c>
      <c r="Q280" s="716"/>
      <c r="R280" s="716"/>
      <c r="S280" s="717"/>
      <c r="T280" s="389">
        <v>544443.93248517381</v>
      </c>
      <c r="U280" s="390">
        <v>17231.26226280658</v>
      </c>
      <c r="V280" s="395">
        <v>321922.02322739235</v>
      </c>
      <c r="W280" s="408">
        <v>17231.26226280658</v>
      </c>
      <c r="X280" s="177"/>
      <c r="Y280" s="177"/>
      <c r="Z280" s="15"/>
    </row>
    <row r="281" spans="1:26" x14ac:dyDescent="0.25">
      <c r="A281" s="108">
        <v>5905</v>
      </c>
      <c r="B281" s="116" t="s">
        <v>368</v>
      </c>
      <c r="C281" s="392">
        <v>-716183.17346832971</v>
      </c>
      <c r="D281" s="392">
        <v>0</v>
      </c>
      <c r="E281" s="393">
        <v>-56870.203054636455</v>
      </c>
      <c r="F281" s="389">
        <v>-773053.37652296619</v>
      </c>
      <c r="G281" s="392">
        <v>-34385</v>
      </c>
      <c r="H281" s="392">
        <v>0</v>
      </c>
      <c r="I281" s="392">
        <v>-43342</v>
      </c>
      <c r="J281" s="394">
        <v>-77727</v>
      </c>
      <c r="K281" s="392">
        <v>335453.94337829167</v>
      </c>
      <c r="L281" s="392">
        <v>85277.710858515231</v>
      </c>
      <c r="M281" s="15">
        <v>420731.65423680691</v>
      </c>
      <c r="N281" s="389">
        <v>0</v>
      </c>
      <c r="P281" s="715">
        <v>-430048.72228615929</v>
      </c>
      <c r="Q281" s="716"/>
      <c r="R281" s="716"/>
      <c r="S281" s="717"/>
      <c r="T281" s="389">
        <v>709426.94232916576</v>
      </c>
      <c r="U281" s="390">
        <v>108053.29406917229</v>
      </c>
      <c r="V281" s="395">
        <v>387431.51411217876</v>
      </c>
      <c r="W281" s="408">
        <v>22452.856887899485</v>
      </c>
      <c r="X281" s="177"/>
      <c r="Y281" s="177"/>
      <c r="Z281" s="15"/>
    </row>
    <row r="282" spans="1:26" x14ac:dyDescent="0.25">
      <c r="A282" s="108">
        <v>5907</v>
      </c>
      <c r="B282" s="116" t="s">
        <v>369</v>
      </c>
      <c r="C282" s="392">
        <v>-355796.41515915882</v>
      </c>
      <c r="D282" s="392">
        <v>0</v>
      </c>
      <c r="E282" s="393">
        <v>-2007.4709142541105</v>
      </c>
      <c r="F282" s="389">
        <v>-357803.88607341296</v>
      </c>
      <c r="G282" s="392">
        <v>-15763</v>
      </c>
      <c r="H282" s="392">
        <v>0</v>
      </c>
      <c r="I282" s="392">
        <v>-1422</v>
      </c>
      <c r="J282" s="394">
        <v>-17185</v>
      </c>
      <c r="K282" s="392">
        <v>145470.4515060444</v>
      </c>
      <c r="L282" s="392">
        <v>36980.895132899219</v>
      </c>
      <c r="M282" s="15">
        <v>182451.34663894362</v>
      </c>
      <c r="N282" s="389">
        <v>-27800</v>
      </c>
      <c r="P282" s="715">
        <v>-220337.53943446933</v>
      </c>
      <c r="Q282" s="716"/>
      <c r="R282" s="716"/>
      <c r="S282" s="717"/>
      <c r="T282" s="389">
        <v>307644.78894438519</v>
      </c>
      <c r="U282" s="390">
        <v>46857.584432185526</v>
      </c>
      <c r="V282" s="395">
        <v>134164.8339421014</v>
      </c>
      <c r="W282" s="408">
        <v>9736.7382126732373</v>
      </c>
      <c r="X282" s="177"/>
      <c r="Y282" s="177"/>
      <c r="Z282" s="15"/>
    </row>
    <row r="283" spans="1:26" x14ac:dyDescent="0.25">
      <c r="A283" s="108">
        <v>5908</v>
      </c>
      <c r="B283" s="116" t="s">
        <v>370</v>
      </c>
      <c r="C283" s="392">
        <v>-141837.00206421426</v>
      </c>
      <c r="D283" s="392">
        <v>0</v>
      </c>
      <c r="E283" s="393">
        <v>-27400.252933736501</v>
      </c>
      <c r="F283" s="389">
        <v>-169237.25499795077</v>
      </c>
      <c r="G283" s="392">
        <v>-7303</v>
      </c>
      <c r="H283" s="392">
        <v>0</v>
      </c>
      <c r="I283" s="392">
        <v>-39986</v>
      </c>
      <c r="J283" s="394">
        <v>-47289</v>
      </c>
      <c r="K283" s="392">
        <v>80307.031588510319</v>
      </c>
      <c r="L283" s="392">
        <v>20415.320656963289</v>
      </c>
      <c r="M283" s="15">
        <v>100722.35224547361</v>
      </c>
      <c r="N283" s="389">
        <v>0</v>
      </c>
      <c r="P283" s="715">
        <v>-115803.90275247717</v>
      </c>
      <c r="Q283" s="716"/>
      <c r="R283" s="716"/>
      <c r="S283" s="717"/>
      <c r="T283" s="389">
        <v>169835.4513099918</v>
      </c>
      <c r="U283" s="390">
        <v>25867.751658146582</v>
      </c>
      <c r="V283" s="395">
        <v>79899.300215661206</v>
      </c>
      <c r="W283" s="408">
        <v>5375.1709375956361</v>
      </c>
      <c r="X283" s="177"/>
      <c r="Y283" s="177"/>
      <c r="Z283" s="15"/>
    </row>
    <row r="284" spans="1:26" x14ac:dyDescent="0.25">
      <c r="A284" s="108">
        <v>5909</v>
      </c>
      <c r="B284" s="116" t="s">
        <v>371</v>
      </c>
      <c r="C284" s="392">
        <v>145028.93141033029</v>
      </c>
      <c r="D284" s="392">
        <v>0</v>
      </c>
      <c r="E284" s="393">
        <v>-98488.027588750119</v>
      </c>
      <c r="F284" s="389">
        <v>46540.90382158017</v>
      </c>
      <c r="G284" s="392">
        <v>0</v>
      </c>
      <c r="H284" s="392">
        <v>0</v>
      </c>
      <c r="I284" s="392">
        <v>0</v>
      </c>
      <c r="J284" s="394">
        <v>0</v>
      </c>
      <c r="K284" s="392">
        <v>339125.12196519499</v>
      </c>
      <c r="L284" s="392">
        <v>38475.582659976404</v>
      </c>
      <c r="M284" s="15">
        <v>377600.70462517138</v>
      </c>
      <c r="N284" s="389">
        <v>0</v>
      </c>
      <c r="P284" s="715">
        <v>424141.60844675155</v>
      </c>
      <c r="Q284" s="716"/>
      <c r="R284" s="716"/>
      <c r="S284" s="717"/>
      <c r="T284" s="389">
        <v>717190.84867476544</v>
      </c>
      <c r="U284" s="390">
        <v>22698.578987903857</v>
      </c>
      <c r="V284" s="395">
        <v>1164031.0361094209</v>
      </c>
      <c r="W284" s="408">
        <v>22698.578987903857</v>
      </c>
      <c r="X284" s="177"/>
      <c r="Y284" s="177"/>
      <c r="Z284" s="15"/>
    </row>
    <row r="285" spans="1:26" x14ac:dyDescent="0.25">
      <c r="A285" s="108">
        <v>5910</v>
      </c>
      <c r="B285" s="116" t="s">
        <v>372</v>
      </c>
      <c r="C285" s="392">
        <v>-509463.05911939341</v>
      </c>
      <c r="D285" s="392">
        <v>0</v>
      </c>
      <c r="E285" s="393">
        <v>-55002.256674496013</v>
      </c>
      <c r="F285" s="389">
        <v>-564465.31579388946</v>
      </c>
      <c r="G285" s="392">
        <v>-34422</v>
      </c>
      <c r="H285" s="392">
        <v>0</v>
      </c>
      <c r="I285" s="392">
        <v>-57666</v>
      </c>
      <c r="J285" s="394">
        <v>-92088</v>
      </c>
      <c r="K285" s="392">
        <v>193654.67045915057</v>
      </c>
      <c r="L285" s="392">
        <v>49230.087527077187</v>
      </c>
      <c r="M285" s="15">
        <v>242884.75798622775</v>
      </c>
      <c r="N285" s="389">
        <v>0</v>
      </c>
      <c r="P285" s="715">
        <v>-413668.55780766171</v>
      </c>
      <c r="Q285" s="716"/>
      <c r="R285" s="716"/>
      <c r="S285" s="717"/>
      <c r="T285" s="389">
        <v>409546.05973038025</v>
      </c>
      <c r="U285" s="390">
        <v>62378.235427073465</v>
      </c>
      <c r="V285" s="395">
        <v>58255.737349792005</v>
      </c>
      <c r="W285" s="408">
        <v>12961.840775230619</v>
      </c>
      <c r="X285" s="177"/>
      <c r="Y285" s="177"/>
      <c r="Z285" s="15"/>
    </row>
    <row r="286" spans="1:26" x14ac:dyDescent="0.25">
      <c r="A286" s="108">
        <v>5911</v>
      </c>
      <c r="B286" s="116" t="s">
        <v>373</v>
      </c>
      <c r="C286" s="392">
        <v>-210069.88664449929</v>
      </c>
      <c r="D286" s="392">
        <v>0</v>
      </c>
      <c r="E286" s="393">
        <v>-33455.849656938473</v>
      </c>
      <c r="F286" s="389">
        <v>-243525.73630143778</v>
      </c>
      <c r="G286" s="392">
        <v>-28704</v>
      </c>
      <c r="H286" s="392">
        <v>0</v>
      </c>
      <c r="I286" s="392">
        <v>-6351</v>
      </c>
      <c r="J286" s="394">
        <v>-35055</v>
      </c>
      <c r="K286" s="392">
        <v>111053.15225382568</v>
      </c>
      <c r="L286" s="392">
        <v>28231.471994200663</v>
      </c>
      <c r="M286" s="15">
        <v>139284.62424802635</v>
      </c>
      <c r="N286" s="389">
        <v>0</v>
      </c>
      <c r="P286" s="715">
        <v>-139296.11205341143</v>
      </c>
      <c r="Q286" s="716"/>
      <c r="R286" s="716"/>
      <c r="S286" s="717"/>
      <c r="T286" s="389">
        <v>234858.16695438867</v>
      </c>
      <c r="U286" s="390">
        <v>35771.4051501227</v>
      </c>
      <c r="V286" s="395">
        <v>131333.46005109994</v>
      </c>
      <c r="W286" s="408">
        <v>7433.0935251322508</v>
      </c>
      <c r="X286" s="177"/>
      <c r="Y286" s="177"/>
      <c r="Z286" s="15"/>
    </row>
    <row r="287" spans="1:26" x14ac:dyDescent="0.25">
      <c r="A287" s="108">
        <v>5912</v>
      </c>
      <c r="B287" s="116" t="s">
        <v>374</v>
      </c>
      <c r="C287" s="392">
        <v>-239070.20605964804</v>
      </c>
      <c r="D287" s="392">
        <v>-7108</v>
      </c>
      <c r="E287" s="393">
        <v>-23829.78568227337</v>
      </c>
      <c r="F287" s="389">
        <v>-270007.9917419214</v>
      </c>
      <c r="G287" s="392">
        <v>-32243</v>
      </c>
      <c r="H287" s="392">
        <v>-1199</v>
      </c>
      <c r="I287" s="392">
        <v>-9612</v>
      </c>
      <c r="J287" s="394">
        <v>-43054</v>
      </c>
      <c r="K287" s="392">
        <v>73423.571738066574</v>
      </c>
      <c r="L287" s="392">
        <v>18665.43602922358</v>
      </c>
      <c r="M287" s="15">
        <v>92089.007767290153</v>
      </c>
      <c r="N287" s="389">
        <v>0</v>
      </c>
      <c r="P287" s="715">
        <v>-220972.98397463124</v>
      </c>
      <c r="Q287" s="716"/>
      <c r="R287" s="716"/>
      <c r="S287" s="717"/>
      <c r="T287" s="389">
        <v>155278.1269119925</v>
      </c>
      <c r="U287" s="390">
        <v>23650.515801734018</v>
      </c>
      <c r="V287" s="395">
        <v>-42044.341260904723</v>
      </c>
      <c r="W287" s="408">
        <v>4914.4420000874388</v>
      </c>
      <c r="X287" s="177"/>
      <c r="Y287" s="177"/>
      <c r="Z287" s="15"/>
    </row>
    <row r="288" spans="1:26" x14ac:dyDescent="0.25">
      <c r="A288" s="108">
        <v>5913</v>
      </c>
      <c r="B288" s="116" t="s">
        <v>375</v>
      </c>
      <c r="C288" s="392">
        <v>-1260413.5346219297</v>
      </c>
      <c r="D288" s="392">
        <v>-12639</v>
      </c>
      <c r="E288" s="393">
        <v>-92669.069606307661</v>
      </c>
      <c r="F288" s="389">
        <v>-1365721.6042282374</v>
      </c>
      <c r="G288" s="392">
        <v>-18297</v>
      </c>
      <c r="H288" s="392">
        <v>0</v>
      </c>
      <c r="I288" s="392">
        <v>-115715</v>
      </c>
      <c r="J288" s="394">
        <v>-134012</v>
      </c>
      <c r="K288" s="392">
        <v>421726.64017051982</v>
      </c>
      <c r="L288" s="392">
        <v>107209.59819285294</v>
      </c>
      <c r="M288" s="15">
        <v>528936.23836337274</v>
      </c>
      <c r="N288" s="389">
        <v>0</v>
      </c>
      <c r="P288" s="715">
        <v>-970797.36586486467</v>
      </c>
      <c r="Q288" s="716"/>
      <c r="R288" s="716"/>
      <c r="S288" s="717"/>
      <c r="T288" s="389">
        <v>891878.74145075702</v>
      </c>
      <c r="U288" s="390">
        <v>135842.65013620976</v>
      </c>
      <c r="V288" s="395">
        <v>56924.025722102117</v>
      </c>
      <c r="W288" s="408">
        <v>28227.326238002224</v>
      </c>
      <c r="X288" s="177"/>
      <c r="Y288" s="177"/>
      <c r="Z288" s="15"/>
    </row>
    <row r="289" spans="1:26" x14ac:dyDescent="0.25">
      <c r="A289" s="108">
        <v>5914</v>
      </c>
      <c r="B289" s="116" t="s">
        <v>376</v>
      </c>
      <c r="C289" s="392">
        <v>-406347.46453733521</v>
      </c>
      <c r="D289" s="392">
        <v>0</v>
      </c>
      <c r="E289" s="393">
        <v>-50265.699904512927</v>
      </c>
      <c r="F289" s="389">
        <v>-456613.16444184812</v>
      </c>
      <c r="G289" s="392">
        <v>-17496</v>
      </c>
      <c r="H289" s="392">
        <v>0</v>
      </c>
      <c r="I289" s="392">
        <v>-19215</v>
      </c>
      <c r="J289" s="394">
        <v>-36711</v>
      </c>
      <c r="K289" s="392">
        <v>178052.16146481145</v>
      </c>
      <c r="L289" s="392">
        <v>45263.68237086718</v>
      </c>
      <c r="M289" s="15">
        <v>223315.84383567862</v>
      </c>
      <c r="N289" s="389">
        <v>0</v>
      </c>
      <c r="P289" s="715">
        <v>-270008.32060616952</v>
      </c>
      <c r="Q289" s="716"/>
      <c r="R289" s="716"/>
      <c r="S289" s="717"/>
      <c r="T289" s="389">
        <v>376549.45776158187</v>
      </c>
      <c r="U289" s="390">
        <v>11917.521850212039</v>
      </c>
      <c r="V289" s="395">
        <v>118458.65900562439</v>
      </c>
      <c r="W289" s="408">
        <v>11917.521850212039</v>
      </c>
      <c r="X289" s="177"/>
      <c r="Y289" s="177"/>
      <c r="Z289" s="15"/>
    </row>
    <row r="290" spans="1:26" x14ac:dyDescent="0.25">
      <c r="A290" s="108">
        <v>5919</v>
      </c>
      <c r="B290" s="116" t="s">
        <v>377</v>
      </c>
      <c r="C290" s="392">
        <v>-757714.32653088402</v>
      </c>
      <c r="D290" s="392">
        <v>0</v>
      </c>
      <c r="E290" s="393">
        <v>-60810.01808582386</v>
      </c>
      <c r="F290" s="389">
        <v>-818524.34461670788</v>
      </c>
      <c r="G290" s="392">
        <v>-9766</v>
      </c>
      <c r="H290" s="392">
        <v>0</v>
      </c>
      <c r="I290" s="392">
        <v>0</v>
      </c>
      <c r="J290" s="394">
        <v>-9766</v>
      </c>
      <c r="K290" s="392">
        <v>325358.20226430753</v>
      </c>
      <c r="L290" s="392">
        <v>82711.213404496986</v>
      </c>
      <c r="M290" s="15">
        <v>408069.41566880455</v>
      </c>
      <c r="N290" s="389">
        <v>0</v>
      </c>
      <c r="P290" s="715">
        <v>-420220.92894790333</v>
      </c>
      <c r="Q290" s="716"/>
      <c r="R290" s="716"/>
      <c r="S290" s="717"/>
      <c r="T290" s="389">
        <v>688076.19987876678</v>
      </c>
      <c r="U290" s="390">
        <v>21777.12111288746</v>
      </c>
      <c r="V290" s="395">
        <v>289632.39204375091</v>
      </c>
      <c r="W290" s="408">
        <v>21777.12111288746</v>
      </c>
      <c r="X290" s="177"/>
      <c r="Y290" s="177"/>
      <c r="Z290" s="15"/>
    </row>
    <row r="291" spans="1:26" x14ac:dyDescent="0.25">
      <c r="A291" s="108">
        <v>5921</v>
      </c>
      <c r="B291" s="116" t="s">
        <v>378</v>
      </c>
      <c r="C291" s="392">
        <v>-441276.46603768162</v>
      </c>
      <c r="D291" s="392">
        <v>-17506</v>
      </c>
      <c r="E291" s="393">
        <v>-49016.477327506815</v>
      </c>
      <c r="F291" s="389">
        <v>-507798.94336518843</v>
      </c>
      <c r="G291" s="392">
        <v>-35144</v>
      </c>
      <c r="H291" s="392">
        <v>0</v>
      </c>
      <c r="I291" s="392">
        <v>-44926</v>
      </c>
      <c r="J291" s="394">
        <v>-80070</v>
      </c>
      <c r="K291" s="392">
        <v>129409.04518834232</v>
      </c>
      <c r="L291" s="392">
        <v>32897.831001506558</v>
      </c>
      <c r="M291" s="15">
        <v>162306.87618984887</v>
      </c>
      <c r="N291" s="389">
        <v>0</v>
      </c>
      <c r="P291" s="715">
        <v>-425562.06717533956</v>
      </c>
      <c r="Q291" s="716"/>
      <c r="R291" s="716"/>
      <c r="S291" s="717"/>
      <c r="T291" s="389">
        <v>273677.69868238678</v>
      </c>
      <c r="U291" s="390">
        <v>41684.034100556208</v>
      </c>
      <c r="V291" s="395">
        <v>-110200.33439239657</v>
      </c>
      <c r="W291" s="408">
        <v>8661.7040251541112</v>
      </c>
      <c r="X291" s="177"/>
      <c r="Y291" s="177"/>
      <c r="Z291" s="15"/>
    </row>
    <row r="292" spans="1:26" x14ac:dyDescent="0.25">
      <c r="A292" s="108">
        <v>5922</v>
      </c>
      <c r="B292" s="116" t="s">
        <v>379</v>
      </c>
      <c r="C292" s="392">
        <v>97251.608457408773</v>
      </c>
      <c r="D292" s="392">
        <v>0</v>
      </c>
      <c r="E292" s="393">
        <v>23570.793374209927</v>
      </c>
      <c r="F292" s="389">
        <v>120822.4018316187</v>
      </c>
      <c r="G292" s="392">
        <v>0</v>
      </c>
      <c r="H292" s="392">
        <v>0</v>
      </c>
      <c r="I292" s="392">
        <v>0</v>
      </c>
      <c r="J292" s="394">
        <v>0</v>
      </c>
      <c r="K292" s="392">
        <v>356563.22025298583</v>
      </c>
      <c r="L292" s="392">
        <v>-44336.176283082983</v>
      </c>
      <c r="M292" s="15">
        <v>312227.04396990285</v>
      </c>
      <c r="N292" s="389">
        <v>0</v>
      </c>
      <c r="P292" s="715">
        <v>433049.44580152154</v>
      </c>
      <c r="Q292" s="716"/>
      <c r="R292" s="716"/>
      <c r="S292" s="717"/>
      <c r="T292" s="389">
        <v>754069.40381636366</v>
      </c>
      <c r="U292" s="390">
        <v>114852.81736217081</v>
      </c>
      <c r="V292" s="395">
        <v>1301971.6669800561</v>
      </c>
      <c r="W292" s="408">
        <v>23865.758962924625</v>
      </c>
      <c r="X292" s="177"/>
      <c r="Y292" s="177"/>
      <c r="Z292" s="15"/>
    </row>
    <row r="293" spans="1:26" x14ac:dyDescent="0.25">
      <c r="A293" s="108">
        <v>5923</v>
      </c>
      <c r="B293" s="116" t="s">
        <v>380</v>
      </c>
      <c r="C293" s="392">
        <v>-195454.1104171623</v>
      </c>
      <c r="D293" s="392">
        <v>0</v>
      </c>
      <c r="E293" s="393">
        <v>-28579.896986370131</v>
      </c>
      <c r="F293" s="389">
        <v>-224034.00740353242</v>
      </c>
      <c r="G293" s="392">
        <v>-21201</v>
      </c>
      <c r="H293" s="392">
        <v>0</v>
      </c>
      <c r="I293" s="392">
        <v>-14306</v>
      </c>
      <c r="J293" s="394">
        <v>-35507</v>
      </c>
      <c r="K293" s="392">
        <v>92697.259319309043</v>
      </c>
      <c r="L293" s="392">
        <v>23565.112986894768</v>
      </c>
      <c r="M293" s="15">
        <v>116262.37230620382</v>
      </c>
      <c r="N293" s="389">
        <v>-14600</v>
      </c>
      <c r="P293" s="715">
        <v>-157878.6350973286</v>
      </c>
      <c r="Q293" s="716"/>
      <c r="R293" s="716"/>
      <c r="S293" s="717"/>
      <c r="T293" s="389">
        <v>196038.63522639056</v>
      </c>
      <c r="U293" s="390">
        <v>29858.776199689193</v>
      </c>
      <c r="V293" s="395">
        <v>68018.776328751148</v>
      </c>
      <c r="W293" s="408">
        <v>6204.4830251103913</v>
      </c>
      <c r="X293" s="177"/>
      <c r="Y293" s="177"/>
      <c r="Z293" s="15"/>
    </row>
    <row r="294" spans="1:26" x14ac:dyDescent="0.25">
      <c r="A294" s="108">
        <v>5924</v>
      </c>
      <c r="B294" s="116" t="s">
        <v>381</v>
      </c>
      <c r="C294" s="392">
        <v>-421350.52670359128</v>
      </c>
      <c r="D294" s="392">
        <v>0</v>
      </c>
      <c r="E294" s="393">
        <v>-52821.245773910763</v>
      </c>
      <c r="F294" s="389">
        <v>-474171.77247750206</v>
      </c>
      <c r="G294" s="392">
        <v>-8364</v>
      </c>
      <c r="H294" s="392">
        <v>0</v>
      </c>
      <c r="I294" s="392">
        <v>-41820</v>
      </c>
      <c r="J294" s="394">
        <v>-50184</v>
      </c>
      <c r="K294" s="392">
        <v>190901.28651897309</v>
      </c>
      <c r="L294" s="392">
        <v>48530.133675981306</v>
      </c>
      <c r="M294" s="15">
        <v>239431.42019495441</v>
      </c>
      <c r="N294" s="389">
        <v>0</v>
      </c>
      <c r="P294" s="715">
        <v>-284924.35228254762</v>
      </c>
      <c r="Q294" s="716"/>
      <c r="R294" s="716"/>
      <c r="S294" s="717"/>
      <c r="T294" s="389">
        <v>403723.12997118052</v>
      </c>
      <c r="U294" s="390">
        <v>61491.341084508444</v>
      </c>
      <c r="V294" s="395">
        <v>180290.11877314135</v>
      </c>
      <c r="W294" s="408">
        <v>12777.54920022734</v>
      </c>
      <c r="X294" s="177"/>
      <c r="Y294" s="177"/>
      <c r="Z294" s="15"/>
    </row>
    <row r="295" spans="1:26" x14ac:dyDescent="0.25">
      <c r="A295" s="108">
        <v>5925</v>
      </c>
      <c r="B295" s="116" t="s">
        <v>382</v>
      </c>
      <c r="C295" s="392">
        <v>-242504.30734370812</v>
      </c>
      <c r="D295" s="392">
        <v>0</v>
      </c>
      <c r="E295" s="393">
        <v>12744.141212459363</v>
      </c>
      <c r="F295" s="389">
        <v>-229760.16613124876</v>
      </c>
      <c r="G295" s="392">
        <v>-26787</v>
      </c>
      <c r="H295" s="392">
        <v>0</v>
      </c>
      <c r="I295" s="392">
        <v>0</v>
      </c>
      <c r="J295" s="394">
        <v>-26787</v>
      </c>
      <c r="K295" s="392">
        <v>98204.027199664037</v>
      </c>
      <c r="L295" s="392">
        <v>24965.020689086537</v>
      </c>
      <c r="M295" s="15">
        <v>123169.04788875057</v>
      </c>
      <c r="N295" s="389">
        <v>0</v>
      </c>
      <c r="P295" s="715">
        <v>-133378.1182424982</v>
      </c>
      <c r="Q295" s="716"/>
      <c r="R295" s="716"/>
      <c r="S295" s="717"/>
      <c r="T295" s="389">
        <v>207684.49474478999</v>
      </c>
      <c r="U295" s="390">
        <v>31632.56488481925</v>
      </c>
      <c r="V295" s="395">
        <v>105938.94138711104</v>
      </c>
      <c r="W295" s="408">
        <v>6573.0661751169491</v>
      </c>
      <c r="X295" s="177"/>
      <c r="Y295" s="177"/>
      <c r="Z295" s="15"/>
    </row>
    <row r="296" spans="1:26" x14ac:dyDescent="0.25">
      <c r="A296" s="108">
        <v>5926</v>
      </c>
      <c r="B296" s="116" t="s">
        <v>383</v>
      </c>
      <c r="C296" s="392">
        <v>-822964.69293047453</v>
      </c>
      <c r="D296" s="392">
        <v>0</v>
      </c>
      <c r="E296" s="393">
        <v>-106322.95466868249</v>
      </c>
      <c r="F296" s="389">
        <v>-929287.64759915706</v>
      </c>
      <c r="G296" s="392">
        <v>0</v>
      </c>
      <c r="H296" s="392">
        <v>0</v>
      </c>
      <c r="I296" s="392">
        <v>-69054</v>
      </c>
      <c r="J296" s="394">
        <v>-69054</v>
      </c>
      <c r="K296" s="392">
        <v>401535.1579425516</v>
      </c>
      <c r="L296" s="392">
        <v>102076.60328481645</v>
      </c>
      <c r="M296" s="15">
        <v>503611.76122736803</v>
      </c>
      <c r="N296" s="389">
        <v>0</v>
      </c>
      <c r="P296" s="715">
        <v>-494729.88637178903</v>
      </c>
      <c r="Q296" s="716"/>
      <c r="R296" s="716"/>
      <c r="S296" s="717"/>
      <c r="T296" s="389">
        <v>849177.25654995907</v>
      </c>
      <c r="U296" s="390">
        <v>26875.854687978179</v>
      </c>
      <c r="V296" s="395">
        <v>381323.2248661482</v>
      </c>
      <c r="W296" s="408">
        <v>26875.854687978179</v>
      </c>
      <c r="X296" s="177"/>
      <c r="Y296" s="177"/>
      <c r="Z296" s="15"/>
    </row>
    <row r="297" spans="1:26" x14ac:dyDescent="0.25">
      <c r="A297" s="108">
        <v>5928</v>
      </c>
      <c r="B297" s="116" t="s">
        <v>384</v>
      </c>
      <c r="C297" s="392">
        <v>-226793.25291064571</v>
      </c>
      <c r="D297" s="392">
        <v>0</v>
      </c>
      <c r="E297" s="393">
        <v>-26686.191536077502</v>
      </c>
      <c r="F297" s="389">
        <v>-253479.44444672321</v>
      </c>
      <c r="G297" s="392">
        <v>-17627</v>
      </c>
      <c r="H297" s="392">
        <v>0</v>
      </c>
      <c r="I297" s="392">
        <v>-74902</v>
      </c>
      <c r="J297" s="394">
        <v>-92529</v>
      </c>
      <c r="K297" s="392">
        <v>91320.567349220306</v>
      </c>
      <c r="L297" s="392">
        <v>23215.136061346828</v>
      </c>
      <c r="M297" s="15">
        <v>114535.70341056713</v>
      </c>
      <c r="N297" s="389">
        <v>0</v>
      </c>
      <c r="P297" s="715">
        <v>-231472.74103615608</v>
      </c>
      <c r="Q297" s="716"/>
      <c r="R297" s="716"/>
      <c r="S297" s="717"/>
      <c r="T297" s="389">
        <v>193127.17034679069</v>
      </c>
      <c r="U297" s="390">
        <v>29415.329028406686</v>
      </c>
      <c r="V297" s="395">
        <v>-8930.241660958698</v>
      </c>
      <c r="W297" s="408">
        <v>6112.3372376087518</v>
      </c>
      <c r="X297" s="177"/>
      <c r="Y297" s="177"/>
      <c r="Z297" s="15"/>
    </row>
    <row r="298" spans="1:26" x14ac:dyDescent="0.25">
      <c r="A298" s="108">
        <v>5929</v>
      </c>
      <c r="B298" s="116" t="s">
        <v>385</v>
      </c>
      <c r="C298" s="392">
        <v>-544412.48953103693</v>
      </c>
      <c r="D298" s="392">
        <v>0</v>
      </c>
      <c r="E298" s="393">
        <v>-19013.703148198678</v>
      </c>
      <c r="F298" s="389">
        <v>-563426.1926792356</v>
      </c>
      <c r="G298" s="392">
        <v>-15238</v>
      </c>
      <c r="H298" s="392">
        <v>0</v>
      </c>
      <c r="I298" s="392">
        <v>-130786</v>
      </c>
      <c r="J298" s="394">
        <v>-146024</v>
      </c>
      <c r="K298" s="392">
        <v>305166.72003633913</v>
      </c>
      <c r="L298" s="392">
        <v>77578.218496460497</v>
      </c>
      <c r="M298" s="15">
        <v>382744.9385327996</v>
      </c>
      <c r="N298" s="389">
        <v>0</v>
      </c>
      <c r="P298" s="715">
        <v>-326705.254146436</v>
      </c>
      <c r="Q298" s="716"/>
      <c r="R298" s="716"/>
      <c r="S298" s="717"/>
      <c r="T298" s="389">
        <v>645374.71497796883</v>
      </c>
      <c r="U298" s="390">
        <v>20425.649562863415</v>
      </c>
      <c r="V298" s="395">
        <v>339095.11039439624</v>
      </c>
      <c r="W298" s="408">
        <v>20425.649562863415</v>
      </c>
      <c r="X298" s="177"/>
      <c r="Y298" s="177"/>
      <c r="Z298" s="15"/>
    </row>
    <row r="299" spans="1:26" x14ac:dyDescent="0.25">
      <c r="A299" s="108">
        <v>5930</v>
      </c>
      <c r="B299" s="116" t="s">
        <v>386</v>
      </c>
      <c r="C299" s="392">
        <v>-245101.83605707614</v>
      </c>
      <c r="D299" s="392">
        <v>0</v>
      </c>
      <c r="E299" s="393">
        <v>-3691.0042378332582</v>
      </c>
      <c r="F299" s="389">
        <v>-248792.8402949094</v>
      </c>
      <c r="G299" s="392">
        <v>-24200</v>
      </c>
      <c r="H299" s="392">
        <v>0</v>
      </c>
      <c r="I299" s="392">
        <v>-15572</v>
      </c>
      <c r="J299" s="394">
        <v>-39772</v>
      </c>
      <c r="K299" s="392">
        <v>99580.719169752789</v>
      </c>
      <c r="L299" s="392">
        <v>25314.997614634478</v>
      </c>
      <c r="M299" s="15">
        <v>124895.71678438727</v>
      </c>
      <c r="N299" s="389">
        <v>0</v>
      </c>
      <c r="P299" s="715">
        <v>-163669.12351052216</v>
      </c>
      <c r="Q299" s="716"/>
      <c r="R299" s="716"/>
      <c r="S299" s="717"/>
      <c r="T299" s="389">
        <v>210595.95962438986</v>
      </c>
      <c r="U299" s="390">
        <v>6665.2119626185886</v>
      </c>
      <c r="V299" s="395">
        <v>53592.048076486288</v>
      </c>
      <c r="W299" s="408">
        <v>6665.2119626185886</v>
      </c>
      <c r="X299" s="177"/>
      <c r="Y299" s="177"/>
      <c r="Z299" s="15"/>
    </row>
    <row r="300" spans="1:26" x14ac:dyDescent="0.25">
      <c r="A300" s="108">
        <v>5931</v>
      </c>
      <c r="B300" s="116" t="s">
        <v>387</v>
      </c>
      <c r="C300" s="392">
        <v>-493301.51675666502</v>
      </c>
      <c r="D300" s="392">
        <v>0</v>
      </c>
      <c r="E300" s="393">
        <v>-26864.323350916849</v>
      </c>
      <c r="F300" s="389">
        <v>-520165.84010758187</v>
      </c>
      <c r="G300" s="392">
        <v>0</v>
      </c>
      <c r="H300" s="392">
        <v>0</v>
      </c>
      <c r="I300" s="392">
        <v>0</v>
      </c>
      <c r="J300" s="394">
        <v>0</v>
      </c>
      <c r="K300" s="392">
        <v>239544.40279544215</v>
      </c>
      <c r="L300" s="392">
        <v>60895.985045341928</v>
      </c>
      <c r="M300" s="15">
        <v>300440.3878407841</v>
      </c>
      <c r="N300" s="389">
        <v>0</v>
      </c>
      <c r="P300" s="715">
        <v>-219725.45226679777</v>
      </c>
      <c r="Q300" s="716"/>
      <c r="R300" s="716"/>
      <c r="S300" s="717"/>
      <c r="T300" s="389">
        <v>506594.88905037555</v>
      </c>
      <c r="U300" s="390">
        <v>16033.367025285268</v>
      </c>
      <c r="V300" s="395">
        <v>302902.80380886304</v>
      </c>
      <c r="W300" s="408">
        <v>16033.367025285268</v>
      </c>
      <c r="X300" s="177"/>
      <c r="Y300" s="177"/>
      <c r="Z300" s="15"/>
    </row>
    <row r="301" spans="1:26" x14ac:dyDescent="0.25">
      <c r="A301" s="108">
        <v>5932</v>
      </c>
      <c r="B301" s="116" t="s">
        <v>102</v>
      </c>
      <c r="C301" s="392">
        <v>-144821.91518821681</v>
      </c>
      <c r="D301" s="392">
        <v>0</v>
      </c>
      <c r="E301" s="393">
        <v>-28080.720122824801</v>
      </c>
      <c r="F301" s="389">
        <v>-172902.63531104161</v>
      </c>
      <c r="G301" s="392">
        <v>-16516</v>
      </c>
      <c r="H301" s="392">
        <v>0</v>
      </c>
      <c r="I301" s="392">
        <v>-9939</v>
      </c>
      <c r="J301" s="394">
        <v>-26455</v>
      </c>
      <c r="K301" s="392">
        <v>107381.97366692236</v>
      </c>
      <c r="L301" s="392">
        <v>27298.200192739485</v>
      </c>
      <c r="M301" s="15">
        <v>134680.17385966185</v>
      </c>
      <c r="N301" s="389">
        <v>0</v>
      </c>
      <c r="P301" s="715">
        <v>-64677.461451379757</v>
      </c>
      <c r="Q301" s="716"/>
      <c r="R301" s="716"/>
      <c r="S301" s="717"/>
      <c r="T301" s="389">
        <v>227094.26060878905</v>
      </c>
      <c r="U301" s="390">
        <v>34588.879360036</v>
      </c>
      <c r="V301" s="395">
        <v>197005.67851744528</v>
      </c>
      <c r="W301" s="408">
        <v>7187.3714251278789</v>
      </c>
      <c r="X301" s="177"/>
      <c r="Y301" s="177"/>
      <c r="Z301" s="15"/>
    </row>
    <row r="302" spans="1:26" x14ac:dyDescent="0.25">
      <c r="A302" s="108">
        <v>5933</v>
      </c>
      <c r="B302" s="116" t="s">
        <v>388</v>
      </c>
      <c r="C302" s="392">
        <v>-615051.11899532215</v>
      </c>
      <c r="D302" s="392">
        <v>0</v>
      </c>
      <c r="E302" s="393">
        <v>-58273.802185238615</v>
      </c>
      <c r="F302" s="389">
        <v>-673324.92118056072</v>
      </c>
      <c r="G302" s="392">
        <v>0</v>
      </c>
      <c r="H302" s="392">
        <v>0</v>
      </c>
      <c r="I302" s="392">
        <v>0</v>
      </c>
      <c r="J302" s="394">
        <v>0</v>
      </c>
      <c r="K302" s="392">
        <v>322604.81832412997</v>
      </c>
      <c r="L302" s="392">
        <v>82011.259553401105</v>
      </c>
      <c r="M302" s="15">
        <v>404616.07787753106</v>
      </c>
      <c r="N302" s="389">
        <v>-102900</v>
      </c>
      <c r="P302" s="715">
        <v>-371608.84330302966</v>
      </c>
      <c r="Q302" s="716"/>
      <c r="R302" s="716"/>
      <c r="S302" s="717"/>
      <c r="T302" s="389">
        <v>682253.27011956705</v>
      </c>
      <c r="U302" s="390">
        <v>103914.45380386885</v>
      </c>
      <c r="V302" s="395">
        <v>414558.88062040624</v>
      </c>
      <c r="W302" s="408">
        <v>21592.829537884183</v>
      </c>
      <c r="X302" s="177"/>
      <c r="Y302" s="177"/>
      <c r="Z302" s="15"/>
    </row>
    <row r="303" spans="1:26" x14ac:dyDescent="0.25">
      <c r="A303" s="108">
        <v>5934</v>
      </c>
      <c r="B303" s="116" t="s">
        <v>389</v>
      </c>
      <c r="C303" s="392">
        <v>-216514.16008088007</v>
      </c>
      <c r="D303" s="392">
        <v>0</v>
      </c>
      <c r="E303" s="393">
        <v>-24478.220573117429</v>
      </c>
      <c r="F303" s="389">
        <v>-240992.3806539975</v>
      </c>
      <c r="G303" s="392">
        <v>-10636</v>
      </c>
      <c r="H303" s="392">
        <v>0</v>
      </c>
      <c r="I303" s="392">
        <v>0</v>
      </c>
      <c r="J303" s="394">
        <v>-10636</v>
      </c>
      <c r="K303" s="392">
        <v>108758.6656370111</v>
      </c>
      <c r="L303" s="392">
        <v>27648.177118287425</v>
      </c>
      <c r="M303" s="15">
        <v>136406.84275529854</v>
      </c>
      <c r="N303" s="389">
        <v>0</v>
      </c>
      <c r="P303" s="715">
        <v>-115221.53789869897</v>
      </c>
      <c r="Q303" s="716"/>
      <c r="R303" s="716"/>
      <c r="S303" s="717"/>
      <c r="T303" s="389">
        <v>230005.72548838891</v>
      </c>
      <c r="U303" s="390">
        <v>35032.326531318511</v>
      </c>
      <c r="V303" s="395">
        <v>149816.51412100845</v>
      </c>
      <c r="W303" s="408">
        <v>7279.5172126295183</v>
      </c>
      <c r="X303" s="177"/>
      <c r="Y303" s="177"/>
      <c r="Z303" s="15"/>
    </row>
    <row r="304" spans="1:26" x14ac:dyDescent="0.25">
      <c r="A304" s="108">
        <v>5935</v>
      </c>
      <c r="B304" s="116" t="s">
        <v>390</v>
      </c>
      <c r="C304" s="392">
        <v>-44524.317986705828</v>
      </c>
      <c r="D304" s="392">
        <v>0</v>
      </c>
      <c r="E304" s="393">
        <v>2371.0615068149345</v>
      </c>
      <c r="F304" s="389">
        <v>-42153.256479890893</v>
      </c>
      <c r="G304" s="392">
        <v>-933</v>
      </c>
      <c r="H304" s="392">
        <v>0</v>
      </c>
      <c r="I304" s="392">
        <v>-4178</v>
      </c>
      <c r="J304" s="394">
        <v>-5111</v>
      </c>
      <c r="K304" s="392">
        <v>46348.629659654522</v>
      </c>
      <c r="L304" s="392">
        <v>11782.556493447384</v>
      </c>
      <c r="M304" s="15">
        <v>58131.186153101909</v>
      </c>
      <c r="N304" s="389">
        <v>0</v>
      </c>
      <c r="P304" s="715">
        <v>10866.929673211016</v>
      </c>
      <c r="Q304" s="716"/>
      <c r="R304" s="716"/>
      <c r="S304" s="717"/>
      <c r="T304" s="389">
        <v>98019.317613195279</v>
      </c>
      <c r="U304" s="390">
        <v>14929.388099844597</v>
      </c>
      <c r="V304" s="395">
        <v>123815.63538625088</v>
      </c>
      <c r="W304" s="408">
        <v>3102.2415125551956</v>
      </c>
      <c r="X304" s="177"/>
      <c r="Y304" s="177"/>
      <c r="Z304" s="15"/>
    </row>
    <row r="305" spans="1:26" x14ac:dyDescent="0.25">
      <c r="A305" s="108">
        <v>5937</v>
      </c>
      <c r="B305" s="116" t="s">
        <v>391</v>
      </c>
      <c r="C305" s="392">
        <v>-191685.88977786645</v>
      </c>
      <c r="D305" s="392">
        <v>0</v>
      </c>
      <c r="E305" s="393">
        <v>-23033.954331395493</v>
      </c>
      <c r="F305" s="389">
        <v>-214719.84410926193</v>
      </c>
      <c r="G305" s="392">
        <v>-19607</v>
      </c>
      <c r="H305" s="392">
        <v>0</v>
      </c>
      <c r="I305" s="392">
        <v>-184</v>
      </c>
      <c r="J305" s="394">
        <v>-19791</v>
      </c>
      <c r="K305" s="392">
        <v>69293.495827800332</v>
      </c>
      <c r="L305" s="392">
        <v>17615.505252579751</v>
      </c>
      <c r="M305" s="15">
        <v>86909.001080380083</v>
      </c>
      <c r="N305" s="389">
        <v>0</v>
      </c>
      <c r="P305" s="715">
        <v>-147601.84302888185</v>
      </c>
      <c r="Q305" s="716"/>
      <c r="R305" s="716"/>
      <c r="S305" s="717"/>
      <c r="T305" s="389">
        <v>146543.73227319293</v>
      </c>
      <c r="U305" s="390">
        <v>22320.174287886479</v>
      </c>
      <c r="V305" s="395">
        <v>21262.063532197561</v>
      </c>
      <c r="W305" s="408">
        <v>4638.0046375825204</v>
      </c>
      <c r="X305" s="177"/>
      <c r="Y305" s="177"/>
      <c r="Z305" s="15"/>
    </row>
    <row r="306" spans="1:26" x14ac:dyDescent="0.25">
      <c r="A306" s="108">
        <v>5938</v>
      </c>
      <c r="B306" s="116" t="s">
        <v>103</v>
      </c>
      <c r="C306" s="392">
        <v>-36121059.575786784</v>
      </c>
      <c r="D306" s="392">
        <v>0</v>
      </c>
      <c r="E306" s="393">
        <v>-503653.27943114657</v>
      </c>
      <c r="F306" s="389">
        <v>-36624712.855217934</v>
      </c>
      <c r="G306" s="392">
        <v>0</v>
      </c>
      <c r="H306" s="392">
        <v>0</v>
      </c>
      <c r="I306" s="392">
        <v>0</v>
      </c>
      <c r="J306" s="394">
        <v>0</v>
      </c>
      <c r="K306" s="392">
        <v>-9147213.1004416049</v>
      </c>
      <c r="L306" s="392">
        <v>680122.88899478596</v>
      </c>
      <c r="M306" s="15">
        <v>-8467090.211446818</v>
      </c>
      <c r="N306" s="389">
        <v>0</v>
      </c>
      <c r="P306" s="715">
        <v>-45091803.066664755</v>
      </c>
      <c r="Q306" s="716"/>
      <c r="R306" s="716"/>
      <c r="S306" s="717"/>
      <c r="T306" s="389">
        <v>29329126.708795786</v>
      </c>
      <c r="U306" s="390">
        <v>928245.94802901545</v>
      </c>
      <c r="V306" s="395">
        <v>-14834430.409839954</v>
      </c>
      <c r="W306" s="408">
        <v>928245.94802901545</v>
      </c>
      <c r="X306" s="177"/>
      <c r="Y306" s="177"/>
      <c r="Z306" s="15"/>
    </row>
    <row r="307" spans="1:26" x14ac:dyDescent="0.25">
      <c r="A307" s="110">
        <v>5939</v>
      </c>
      <c r="B307" s="117" t="s">
        <v>392</v>
      </c>
      <c r="C307" s="396">
        <v>-4074706.2574521448</v>
      </c>
      <c r="D307" s="396">
        <v>0</v>
      </c>
      <c r="E307" s="397">
        <v>-392650.97907824151</v>
      </c>
      <c r="F307" s="389">
        <v>-4467357.2365303859</v>
      </c>
      <c r="G307" s="396">
        <v>0</v>
      </c>
      <c r="H307" s="396">
        <v>0</v>
      </c>
      <c r="I307" s="396">
        <v>0</v>
      </c>
      <c r="J307" s="398">
        <v>0</v>
      </c>
      <c r="K307" s="396">
        <v>859919.09564865963</v>
      </c>
      <c r="L307" s="396">
        <v>412506.1362458411</v>
      </c>
      <c r="M307" s="399">
        <v>1272425.2318945008</v>
      </c>
      <c r="N307" s="389">
        <v>0</v>
      </c>
      <c r="P307" s="715">
        <v>-3194932.0046358854</v>
      </c>
      <c r="Q307" s="716"/>
      <c r="R307" s="716"/>
      <c r="S307" s="717"/>
      <c r="T307" s="400">
        <v>3431646.6047550347</v>
      </c>
      <c r="U307" s="390">
        <v>592893.304174077</v>
      </c>
      <c r="V307" s="401">
        <v>829607.90429322631</v>
      </c>
      <c r="W307" s="409">
        <v>108609.16820193239</v>
      </c>
      <c r="X307" s="177"/>
      <c r="Y307" s="177"/>
      <c r="Z307" s="15"/>
    </row>
    <row r="308" spans="1:26" x14ac:dyDescent="0.25">
      <c r="A308" s="2"/>
      <c r="C308" s="400">
        <v>-2.3911707103252411E-6</v>
      </c>
      <c r="D308" s="400">
        <v>-1295905</v>
      </c>
      <c r="E308" s="398">
        <v>450000.00000000198</v>
      </c>
      <c r="F308" s="402">
        <v>-845905.00000229478</v>
      </c>
      <c r="G308" s="402">
        <v>-8074108</v>
      </c>
      <c r="H308" s="402">
        <v>-14852671</v>
      </c>
      <c r="I308" s="402">
        <v>-5737070</v>
      </c>
      <c r="J308" s="403">
        <v>-28663849</v>
      </c>
      <c r="K308" s="402">
        <v>-2.8638169169425964E-8</v>
      </c>
      <c r="L308" s="402">
        <v>3.6670826375484467E-9</v>
      </c>
      <c r="M308" s="404">
        <v>-3.9814040064811707E-8</v>
      </c>
      <c r="N308" s="402">
        <v>-10113300</v>
      </c>
      <c r="P308" s="712">
        <v>-39623054.000002459</v>
      </c>
      <c r="Q308" s="713"/>
      <c r="R308" s="713"/>
      <c r="S308" s="714"/>
      <c r="T308" s="400">
        <v>821327154.00000036</v>
      </c>
      <c r="U308" s="405">
        <v>74269767.99999994</v>
      </c>
      <c r="V308" s="406">
        <v>855973867.99999785</v>
      </c>
      <c r="W308" s="410">
        <f>SUM(W8:W307)</f>
        <v>25994418.799999975</v>
      </c>
    </row>
    <row r="309" spans="1:26" x14ac:dyDescent="0.25">
      <c r="J309" s="1">
        <v>201</v>
      </c>
      <c r="N309" s="15"/>
      <c r="V309" s="15"/>
    </row>
  </sheetData>
  <mergeCells count="315">
    <mergeCell ref="K5:M6"/>
    <mergeCell ref="P5:P6"/>
    <mergeCell ref="Q5:Q6"/>
    <mergeCell ref="R5:R6"/>
    <mergeCell ref="S5:S6"/>
    <mergeCell ref="T5:U6"/>
    <mergeCell ref="N6:N7"/>
    <mergeCell ref="P7:S7"/>
    <mergeCell ref="A3:B3"/>
    <mergeCell ref="A4:B4"/>
    <mergeCell ref="A5:A7"/>
    <mergeCell ref="B5:B7"/>
    <mergeCell ref="C5:F6"/>
    <mergeCell ref="G5:J6"/>
    <mergeCell ref="P14:S14"/>
    <mergeCell ref="P15:S15"/>
    <mergeCell ref="P16:S16"/>
    <mergeCell ref="P17:S17"/>
    <mergeCell ref="P18:S18"/>
    <mergeCell ref="P19:S19"/>
    <mergeCell ref="P8:S8"/>
    <mergeCell ref="P9:S9"/>
    <mergeCell ref="P10:S10"/>
    <mergeCell ref="P11:S11"/>
    <mergeCell ref="P12:S12"/>
    <mergeCell ref="P13:S13"/>
    <mergeCell ref="P26:S26"/>
    <mergeCell ref="P27:S27"/>
    <mergeCell ref="P28:S28"/>
    <mergeCell ref="P29:S29"/>
    <mergeCell ref="P30:S30"/>
    <mergeCell ref="P31:S31"/>
    <mergeCell ref="P20:S20"/>
    <mergeCell ref="P21:S21"/>
    <mergeCell ref="P22:S22"/>
    <mergeCell ref="P23:S23"/>
    <mergeCell ref="P24:S24"/>
    <mergeCell ref="P25:S25"/>
    <mergeCell ref="P38:S38"/>
    <mergeCell ref="P39:S39"/>
    <mergeCell ref="P40:S40"/>
    <mergeCell ref="P41:S41"/>
    <mergeCell ref="P42:S42"/>
    <mergeCell ref="P43:S43"/>
    <mergeCell ref="P32:S32"/>
    <mergeCell ref="P33:S33"/>
    <mergeCell ref="P34:S34"/>
    <mergeCell ref="P35:S35"/>
    <mergeCell ref="P36:S36"/>
    <mergeCell ref="P37:S37"/>
    <mergeCell ref="P50:S50"/>
    <mergeCell ref="P51:S51"/>
    <mergeCell ref="P52:S52"/>
    <mergeCell ref="P53:S53"/>
    <mergeCell ref="P54:S54"/>
    <mergeCell ref="P55:S55"/>
    <mergeCell ref="P44:S44"/>
    <mergeCell ref="P45:S45"/>
    <mergeCell ref="P46:S46"/>
    <mergeCell ref="P47:S47"/>
    <mergeCell ref="P48:S48"/>
    <mergeCell ref="P49:S49"/>
    <mergeCell ref="P62:S62"/>
    <mergeCell ref="P63:S63"/>
    <mergeCell ref="P64:S64"/>
    <mergeCell ref="P65:S65"/>
    <mergeCell ref="P66:S66"/>
    <mergeCell ref="P67:S67"/>
    <mergeCell ref="P56:S56"/>
    <mergeCell ref="P57:S57"/>
    <mergeCell ref="P58:S58"/>
    <mergeCell ref="P59:S59"/>
    <mergeCell ref="P60:S60"/>
    <mergeCell ref="P61:S61"/>
    <mergeCell ref="P74:S74"/>
    <mergeCell ref="P75:S75"/>
    <mergeCell ref="P76:S76"/>
    <mergeCell ref="P77:S77"/>
    <mergeCell ref="P78:S78"/>
    <mergeCell ref="P79:S79"/>
    <mergeCell ref="P68:S68"/>
    <mergeCell ref="P69:S69"/>
    <mergeCell ref="P70:S70"/>
    <mergeCell ref="P71:S71"/>
    <mergeCell ref="P72:S72"/>
    <mergeCell ref="P73:S73"/>
    <mergeCell ref="P86:S86"/>
    <mergeCell ref="P87:S87"/>
    <mergeCell ref="P88:S88"/>
    <mergeCell ref="P89:S89"/>
    <mergeCell ref="P90:S90"/>
    <mergeCell ref="P91:S91"/>
    <mergeCell ref="P80:S80"/>
    <mergeCell ref="P81:S81"/>
    <mergeCell ref="P82:S82"/>
    <mergeCell ref="P83:S83"/>
    <mergeCell ref="P84:S84"/>
    <mergeCell ref="P85:S85"/>
    <mergeCell ref="P98:S98"/>
    <mergeCell ref="P99:S99"/>
    <mergeCell ref="P100:S100"/>
    <mergeCell ref="P101:S101"/>
    <mergeCell ref="P102:S102"/>
    <mergeCell ref="P103:S103"/>
    <mergeCell ref="P92:S92"/>
    <mergeCell ref="P93:S93"/>
    <mergeCell ref="P94:S94"/>
    <mergeCell ref="P95:S95"/>
    <mergeCell ref="P96:S96"/>
    <mergeCell ref="P97:S97"/>
    <mergeCell ref="P110:S110"/>
    <mergeCell ref="P111:S111"/>
    <mergeCell ref="P112:S112"/>
    <mergeCell ref="P113:S113"/>
    <mergeCell ref="P114:S114"/>
    <mergeCell ref="P115:S115"/>
    <mergeCell ref="P104:S104"/>
    <mergeCell ref="P105:S105"/>
    <mergeCell ref="P106:S106"/>
    <mergeCell ref="P107:S107"/>
    <mergeCell ref="P108:S108"/>
    <mergeCell ref="P109:S109"/>
    <mergeCell ref="P122:S122"/>
    <mergeCell ref="P123:S123"/>
    <mergeCell ref="P124:S124"/>
    <mergeCell ref="P125:S125"/>
    <mergeCell ref="P126:S126"/>
    <mergeCell ref="P127:S127"/>
    <mergeCell ref="P116:S116"/>
    <mergeCell ref="P117:S117"/>
    <mergeCell ref="P118:S118"/>
    <mergeCell ref="P119:S119"/>
    <mergeCell ref="P120:S120"/>
    <mergeCell ref="P121:S121"/>
    <mergeCell ref="P134:S134"/>
    <mergeCell ref="P135:S135"/>
    <mergeCell ref="P136:S136"/>
    <mergeCell ref="P137:S137"/>
    <mergeCell ref="P138:S138"/>
    <mergeCell ref="P139:S139"/>
    <mergeCell ref="P128:S128"/>
    <mergeCell ref="P129:S129"/>
    <mergeCell ref="P130:S130"/>
    <mergeCell ref="P131:S131"/>
    <mergeCell ref="P132:S132"/>
    <mergeCell ref="P133:S133"/>
    <mergeCell ref="P146:S146"/>
    <mergeCell ref="P147:S147"/>
    <mergeCell ref="P148:S148"/>
    <mergeCell ref="P149:S149"/>
    <mergeCell ref="P150:S150"/>
    <mergeCell ref="P151:S151"/>
    <mergeCell ref="P140:S140"/>
    <mergeCell ref="P141:S141"/>
    <mergeCell ref="P142:S142"/>
    <mergeCell ref="P143:S143"/>
    <mergeCell ref="P144:S144"/>
    <mergeCell ref="P145:S145"/>
    <mergeCell ref="P158:S158"/>
    <mergeCell ref="P159:S159"/>
    <mergeCell ref="P160:S160"/>
    <mergeCell ref="P161:S161"/>
    <mergeCell ref="P162:S162"/>
    <mergeCell ref="P163:S163"/>
    <mergeCell ref="P152:S152"/>
    <mergeCell ref="P153:S153"/>
    <mergeCell ref="P154:S154"/>
    <mergeCell ref="P155:S155"/>
    <mergeCell ref="P156:S156"/>
    <mergeCell ref="P157:S157"/>
    <mergeCell ref="P170:S170"/>
    <mergeCell ref="P171:S171"/>
    <mergeCell ref="P172:S172"/>
    <mergeCell ref="P173:S173"/>
    <mergeCell ref="P174:S174"/>
    <mergeCell ref="P175:S175"/>
    <mergeCell ref="P164:S164"/>
    <mergeCell ref="P165:S165"/>
    <mergeCell ref="P166:S166"/>
    <mergeCell ref="P167:S167"/>
    <mergeCell ref="P168:S168"/>
    <mergeCell ref="P169:S169"/>
    <mergeCell ref="P182:S182"/>
    <mergeCell ref="P183:S183"/>
    <mergeCell ref="P184:S184"/>
    <mergeCell ref="P185:S185"/>
    <mergeCell ref="P186:S186"/>
    <mergeCell ref="P187:S187"/>
    <mergeCell ref="P176:S176"/>
    <mergeCell ref="P177:S177"/>
    <mergeCell ref="P178:S178"/>
    <mergeCell ref="P179:S179"/>
    <mergeCell ref="P180:S180"/>
    <mergeCell ref="P181:S181"/>
    <mergeCell ref="P194:S194"/>
    <mergeCell ref="P195:S195"/>
    <mergeCell ref="P196:S196"/>
    <mergeCell ref="P197:S197"/>
    <mergeCell ref="P198:S198"/>
    <mergeCell ref="P199:S199"/>
    <mergeCell ref="P188:S188"/>
    <mergeCell ref="P189:S189"/>
    <mergeCell ref="P190:S190"/>
    <mergeCell ref="P191:S191"/>
    <mergeCell ref="P192:S192"/>
    <mergeCell ref="P193:S193"/>
    <mergeCell ref="P206:S206"/>
    <mergeCell ref="P207:S207"/>
    <mergeCell ref="P208:S208"/>
    <mergeCell ref="P209:S209"/>
    <mergeCell ref="P210:S210"/>
    <mergeCell ref="P211:S211"/>
    <mergeCell ref="P200:S200"/>
    <mergeCell ref="P201:S201"/>
    <mergeCell ref="P202:S202"/>
    <mergeCell ref="P203:S203"/>
    <mergeCell ref="P204:S204"/>
    <mergeCell ref="P205:S205"/>
    <mergeCell ref="P218:S218"/>
    <mergeCell ref="P219:S219"/>
    <mergeCell ref="P220:S220"/>
    <mergeCell ref="P221:S221"/>
    <mergeCell ref="P222:S222"/>
    <mergeCell ref="P223:S223"/>
    <mergeCell ref="P212:S212"/>
    <mergeCell ref="P213:S213"/>
    <mergeCell ref="P214:S214"/>
    <mergeCell ref="P215:S215"/>
    <mergeCell ref="P216:S216"/>
    <mergeCell ref="P217:S217"/>
    <mergeCell ref="P230:S230"/>
    <mergeCell ref="P231:S231"/>
    <mergeCell ref="P232:S232"/>
    <mergeCell ref="P233:S233"/>
    <mergeCell ref="P234:S234"/>
    <mergeCell ref="P235:S235"/>
    <mergeCell ref="P224:S224"/>
    <mergeCell ref="P225:S225"/>
    <mergeCell ref="P226:S226"/>
    <mergeCell ref="P227:S227"/>
    <mergeCell ref="P228:S228"/>
    <mergeCell ref="P229:S229"/>
    <mergeCell ref="P242:S242"/>
    <mergeCell ref="P243:S243"/>
    <mergeCell ref="P244:S244"/>
    <mergeCell ref="P245:S245"/>
    <mergeCell ref="P246:S246"/>
    <mergeCell ref="P247:S247"/>
    <mergeCell ref="P236:S236"/>
    <mergeCell ref="P237:S237"/>
    <mergeCell ref="P238:S238"/>
    <mergeCell ref="P239:S239"/>
    <mergeCell ref="P240:S240"/>
    <mergeCell ref="P241:S241"/>
    <mergeCell ref="P254:S254"/>
    <mergeCell ref="P255:S255"/>
    <mergeCell ref="P256:S256"/>
    <mergeCell ref="P257:S257"/>
    <mergeCell ref="P258:S258"/>
    <mergeCell ref="P259:S259"/>
    <mergeCell ref="P248:S248"/>
    <mergeCell ref="P249:S249"/>
    <mergeCell ref="P250:S250"/>
    <mergeCell ref="P251:S251"/>
    <mergeCell ref="P252:S252"/>
    <mergeCell ref="P253:S253"/>
    <mergeCell ref="P266:S266"/>
    <mergeCell ref="P267:S267"/>
    <mergeCell ref="P268:S268"/>
    <mergeCell ref="P269:S269"/>
    <mergeCell ref="P270:S270"/>
    <mergeCell ref="P271:S271"/>
    <mergeCell ref="P260:S260"/>
    <mergeCell ref="P261:S261"/>
    <mergeCell ref="P262:S262"/>
    <mergeCell ref="P263:S263"/>
    <mergeCell ref="P264:S264"/>
    <mergeCell ref="P265:S265"/>
    <mergeCell ref="P278:S278"/>
    <mergeCell ref="P279:S279"/>
    <mergeCell ref="P280:S280"/>
    <mergeCell ref="P281:S281"/>
    <mergeCell ref="P282:S282"/>
    <mergeCell ref="P283:S283"/>
    <mergeCell ref="P272:S272"/>
    <mergeCell ref="P273:S273"/>
    <mergeCell ref="P274:S274"/>
    <mergeCell ref="P275:S275"/>
    <mergeCell ref="P276:S276"/>
    <mergeCell ref="P277:S277"/>
    <mergeCell ref="P290:S290"/>
    <mergeCell ref="P291:S291"/>
    <mergeCell ref="P292:S292"/>
    <mergeCell ref="P293:S293"/>
    <mergeCell ref="P294:S294"/>
    <mergeCell ref="P295:S295"/>
    <mergeCell ref="P284:S284"/>
    <mergeCell ref="P285:S285"/>
    <mergeCell ref="P286:S286"/>
    <mergeCell ref="P287:S287"/>
    <mergeCell ref="P288:S288"/>
    <mergeCell ref="P289:S289"/>
    <mergeCell ref="P308:S308"/>
    <mergeCell ref="P302:S302"/>
    <mergeCell ref="P303:S303"/>
    <mergeCell ref="P304:S304"/>
    <mergeCell ref="P305:S305"/>
    <mergeCell ref="P306:S306"/>
    <mergeCell ref="P307:S307"/>
    <mergeCell ref="P296:S296"/>
    <mergeCell ref="P297:S297"/>
    <mergeCell ref="P298:S298"/>
    <mergeCell ref="P299:S299"/>
    <mergeCell ref="P300:S300"/>
    <mergeCell ref="P301:S301"/>
  </mergeCells>
  <conditionalFormatting sqref="V6">
    <cfRule type="cellIs" dxfId="3" priority="1" operator="equal">
      <formula>"ERREUR"</formula>
    </cfRule>
    <cfRule type="cellIs" dxfId="2" priority="2" operator="equal">
      <formula>"OK"</formula>
    </cfRule>
  </conditionalFormatting>
  <hyperlinks>
    <hyperlink ref="C1" location="Police!A1" display="← Précédent" xr:uid="{A65B0BDA-BB62-4547-A6D9-7AA0C22D5396}"/>
    <hyperlink ref="D1" location="'Table des matières'!A1" display="Table des matières" xr:uid="{906ED2A1-899E-4A97-A744-CCBC5898B9B0}"/>
    <hyperlink ref="E1" location="'Synthèse par commune'!A1" display="Synthèse par commune" xr:uid="{6B6A8B70-6A61-48F7-AD7A-348C912B39BB}"/>
    <hyperlink ref="F1" location="'Détail par commune'!A1" display="Détail par commune" xr:uid="{2689E8BD-507F-4837-98D5-17BB03B98004}"/>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5751D-2F16-4C66-B637-5BEEEB9608C8}">
  <sheetPr>
    <tabColor theme="0" tint="-4.9989318521683403E-2"/>
  </sheetPr>
  <dimension ref="A1:U316"/>
  <sheetViews>
    <sheetView zoomScale="90" zoomScaleNormal="90" workbookViewId="0"/>
  </sheetViews>
  <sheetFormatPr baseColWidth="10" defaultRowHeight="15" x14ac:dyDescent="0.25"/>
  <cols>
    <col min="1" max="1" width="26.7109375" style="135" customWidth="1"/>
    <col min="2" max="3" width="12.85546875" style="135" customWidth="1"/>
    <col min="4" max="4" width="7.140625" style="135" customWidth="1"/>
    <col min="5" max="6" width="19.140625" style="135" customWidth="1"/>
    <col min="7" max="7" width="12.85546875" style="135" customWidth="1"/>
    <col min="8" max="8" width="7.140625" style="135" customWidth="1"/>
    <col min="9" max="10" width="19.28515625" style="135" customWidth="1"/>
    <col min="11" max="11" width="12.85546875" style="135" customWidth="1"/>
    <col min="12" max="12" width="4.28515625" style="135" customWidth="1"/>
    <col min="13" max="13" width="13.42578125" style="135" customWidth="1"/>
    <col min="14" max="21" width="12.85546875" style="135" customWidth="1"/>
    <col min="22" max="22" width="4.28515625" style="135" customWidth="1"/>
    <col min="23" max="16384" width="11.42578125" style="135"/>
  </cols>
  <sheetData>
    <row r="1" spans="1:21" ht="27" customHeight="1" x14ac:dyDescent="0.25">
      <c r="A1" s="132" t="s">
        <v>397</v>
      </c>
      <c r="B1" s="133" t="s">
        <v>441</v>
      </c>
      <c r="C1" s="134" t="s">
        <v>442</v>
      </c>
      <c r="D1" s="447" t="s">
        <v>443</v>
      </c>
      <c r="E1" s="447"/>
      <c r="H1" s="150"/>
      <c r="I1" s="457"/>
      <c r="J1" s="458"/>
    </row>
    <row r="2" spans="1:21" ht="26.25" x14ac:dyDescent="0.2">
      <c r="A2" s="132"/>
      <c r="B2" s="132"/>
      <c r="C2" s="132"/>
      <c r="I2" s="136"/>
      <c r="J2" s="136"/>
    </row>
    <row r="3" spans="1:21" ht="15" customHeight="1" x14ac:dyDescent="0.25"/>
    <row r="4" spans="1:21" s="137" customFormat="1" ht="22.5" customHeight="1" x14ac:dyDescent="0.25">
      <c r="A4" s="460" t="s">
        <v>2</v>
      </c>
      <c r="B4" s="460"/>
      <c r="C4" s="460"/>
      <c r="E4" s="460" t="s">
        <v>587</v>
      </c>
      <c r="F4" s="460"/>
      <c r="G4" s="460"/>
      <c r="I4" s="451" t="s">
        <v>517</v>
      </c>
      <c r="J4" s="451"/>
      <c r="K4" s="451"/>
      <c r="M4" s="138" t="s">
        <v>438</v>
      </c>
      <c r="N4" s="138" t="s">
        <v>437</v>
      </c>
      <c r="O4" s="138" t="s">
        <v>399</v>
      </c>
      <c r="P4" s="139" t="s">
        <v>403</v>
      </c>
      <c r="Q4" s="138" t="str">
        <f>IF(M5="Décompte prévisionnel",CONCATENATE("IPC avril ",N5-1),IF(OR(M5="Décompte final",M5="Projet de décompte final"),CONCATENATE("IPC juin ",N5),"ERREUR"))</f>
        <v>IPC avril 2026</v>
      </c>
      <c r="S4" s="460" t="s">
        <v>588</v>
      </c>
      <c r="T4" s="460"/>
      <c r="U4" s="460"/>
    </row>
    <row r="5" spans="1:21" ht="22.5" customHeight="1" x14ac:dyDescent="0.25">
      <c r="A5" s="459" t="s">
        <v>584</v>
      </c>
      <c r="B5" s="459"/>
      <c r="C5" s="140">
        <v>0.8</v>
      </c>
      <c r="E5" s="464" t="s">
        <v>453</v>
      </c>
      <c r="F5" s="465"/>
      <c r="G5" s="140">
        <v>1.2</v>
      </c>
      <c r="H5" s="137"/>
      <c r="I5" s="459" t="s">
        <v>572</v>
      </c>
      <c r="J5" s="459"/>
      <c r="K5" s="12">
        <f>K6+K14-K10+K18</f>
        <v>983328402.05666673</v>
      </c>
      <c r="M5" s="222" t="s">
        <v>596</v>
      </c>
      <c r="N5" s="106">
        <v>2027</v>
      </c>
      <c r="O5" s="141">
        <f>IF(M5="Décompte prévisionnel",N5-2,IF(OR(M5="Décompte final",M5="Projet de décompte final"),N5,"ERREUR"))</f>
        <v>2025</v>
      </c>
      <c r="P5" s="141">
        <v>101.1</v>
      </c>
      <c r="Q5" s="105">
        <v>108.1</v>
      </c>
      <c r="S5" s="462" t="s">
        <v>400</v>
      </c>
      <c r="T5" s="463"/>
      <c r="U5" s="140">
        <v>0.6</v>
      </c>
    </row>
    <row r="6" spans="1:21" ht="22.5" customHeight="1" x14ac:dyDescent="0.25">
      <c r="A6" s="464" t="s">
        <v>583</v>
      </c>
      <c r="B6" s="465"/>
      <c r="C6" s="140">
        <v>0.9</v>
      </c>
      <c r="E6" s="464" t="s">
        <v>408</v>
      </c>
      <c r="F6" s="465"/>
      <c r="G6" s="53">
        <v>100</v>
      </c>
      <c r="I6" s="471" t="s">
        <v>573</v>
      </c>
      <c r="J6" s="472"/>
      <c r="K6" s="441">
        <f>861540400</f>
        <v>861540400</v>
      </c>
      <c r="P6" s="461" t="s">
        <v>569</v>
      </c>
      <c r="Q6" s="461"/>
    </row>
    <row r="7" spans="1:21" ht="22.5" customHeight="1" x14ac:dyDescent="0.25">
      <c r="A7" s="473" t="s">
        <v>582</v>
      </c>
      <c r="B7" s="474"/>
      <c r="C7" s="477">
        <v>1</v>
      </c>
      <c r="E7" s="464" t="s">
        <v>406</v>
      </c>
      <c r="F7" s="465"/>
      <c r="G7" s="80">
        <f>G6/P5*Q5</f>
        <v>106.92383778437191</v>
      </c>
      <c r="M7" s="451" t="s">
        <v>465</v>
      </c>
      <c r="N7" s="451"/>
      <c r="O7" s="451"/>
      <c r="P7" s="451"/>
      <c r="Q7" s="451"/>
      <c r="R7" s="451"/>
      <c r="S7" s="451"/>
      <c r="T7" s="451"/>
      <c r="U7" s="451"/>
    </row>
    <row r="8" spans="1:21" ht="22.5" customHeight="1" thickBot="1" x14ac:dyDescent="0.3">
      <c r="A8" s="475"/>
      <c r="B8" s="476"/>
      <c r="C8" s="478"/>
      <c r="E8" s="464" t="s">
        <v>481</v>
      </c>
      <c r="F8" s="465"/>
      <c r="G8" s="104" t="s">
        <v>394</v>
      </c>
      <c r="I8" s="451" t="s">
        <v>454</v>
      </c>
      <c r="J8" s="451"/>
      <c r="K8" s="451"/>
      <c r="M8" s="452" t="s">
        <v>50</v>
      </c>
      <c r="N8" s="453"/>
      <c r="O8" s="453"/>
      <c r="P8" s="453"/>
      <c r="Q8" s="453"/>
      <c r="R8" s="453"/>
      <c r="S8" s="453"/>
      <c r="T8" s="453"/>
      <c r="U8" s="454"/>
    </row>
    <row r="9" spans="1:21" ht="22.5" customHeight="1" thickTop="1" thickBot="1" x14ac:dyDescent="0.3">
      <c r="A9" s="473" t="s">
        <v>581</v>
      </c>
      <c r="B9" s="481"/>
      <c r="C9" s="487">
        <v>0.5</v>
      </c>
      <c r="I9" s="482" t="s">
        <v>478</v>
      </c>
      <c r="J9" s="483"/>
      <c r="K9" s="143">
        <v>160000000</v>
      </c>
      <c r="M9" s="144" t="s">
        <v>22</v>
      </c>
      <c r="N9" s="81">
        <v>0</v>
      </c>
      <c r="O9" s="81">
        <v>1000</v>
      </c>
      <c r="P9" s="81">
        <v>3000</v>
      </c>
      <c r="Q9" s="81">
        <v>5000</v>
      </c>
      <c r="R9" s="81">
        <v>12000</v>
      </c>
      <c r="S9" s="81">
        <v>15000</v>
      </c>
      <c r="T9" s="81">
        <v>30000</v>
      </c>
      <c r="U9" s="81">
        <v>45000</v>
      </c>
    </row>
    <row r="10" spans="1:21" ht="22.5" customHeight="1" thickTop="1" x14ac:dyDescent="0.25">
      <c r="A10" s="485"/>
      <c r="B10" s="486"/>
      <c r="C10" s="488"/>
      <c r="E10" s="460" t="s">
        <v>589</v>
      </c>
      <c r="F10" s="460"/>
      <c r="G10" s="460"/>
      <c r="I10" s="484" t="s">
        <v>522</v>
      </c>
      <c r="J10" s="484"/>
      <c r="K10" s="442">
        <v>-44937900</v>
      </c>
      <c r="M10" s="145" t="s">
        <v>23</v>
      </c>
      <c r="N10" s="81">
        <v>1000</v>
      </c>
      <c r="O10" s="81">
        <v>3000</v>
      </c>
      <c r="P10" s="81">
        <v>5000</v>
      </c>
      <c r="Q10" s="81">
        <v>12000</v>
      </c>
      <c r="R10" s="81">
        <v>15000</v>
      </c>
      <c r="S10" s="81">
        <v>30000</v>
      </c>
      <c r="T10" s="81">
        <v>45000</v>
      </c>
      <c r="U10" s="81" t="str">
        <f>""</f>
        <v/>
      </c>
    </row>
    <row r="11" spans="1:21" ht="22.5" customHeight="1" x14ac:dyDescent="0.25">
      <c r="A11" s="473" t="s">
        <v>580</v>
      </c>
      <c r="B11" s="481"/>
      <c r="C11" s="146">
        <v>0.3</v>
      </c>
      <c r="E11" s="464" t="s">
        <v>410</v>
      </c>
      <c r="F11" s="465"/>
      <c r="G11" s="53">
        <v>550</v>
      </c>
      <c r="I11" s="459" t="s">
        <v>523</v>
      </c>
      <c r="J11" s="459"/>
      <c r="K11" s="441">
        <v>-18241200</v>
      </c>
      <c r="M11" s="145" t="s">
        <v>28</v>
      </c>
      <c r="N11" s="53">
        <v>125</v>
      </c>
      <c r="O11" s="53">
        <v>350</v>
      </c>
      <c r="P11" s="455">
        <v>625</v>
      </c>
      <c r="Q11" s="456"/>
      <c r="R11" s="53">
        <v>1000</v>
      </c>
      <c r="S11" s="53">
        <v>1050</v>
      </c>
      <c r="T11" s="53">
        <v>1100</v>
      </c>
      <c r="U11" s="53">
        <v>1150</v>
      </c>
    </row>
    <row r="12" spans="1:21" ht="22.5" customHeight="1" x14ac:dyDescent="0.25">
      <c r="A12" s="464" t="s">
        <v>579</v>
      </c>
      <c r="B12" s="465"/>
      <c r="C12" s="81">
        <v>450000</v>
      </c>
      <c r="E12" s="464" t="s">
        <v>406</v>
      </c>
      <c r="F12" s="465"/>
      <c r="G12" s="80">
        <f>G11/P5*Q5</f>
        <v>588.08110781404548</v>
      </c>
      <c r="H12" s="147"/>
      <c r="I12" s="459" t="s">
        <v>461</v>
      </c>
      <c r="J12" s="459"/>
      <c r="K12" s="12">
        <f>-SUM(C23:C316)*K16</f>
        <v>-7584975</v>
      </c>
      <c r="M12" s="72" t="s">
        <v>406</v>
      </c>
      <c r="N12" s="80">
        <f t="shared" ref="N12:U12" si="0">N11/$P$5*$Q$5</f>
        <v>133.65479723046488</v>
      </c>
      <c r="O12" s="80">
        <f t="shared" si="0"/>
        <v>374.23343224530169</v>
      </c>
      <c r="P12" s="449">
        <f t="shared" si="0"/>
        <v>668.27398615232448</v>
      </c>
      <c r="Q12" s="450"/>
      <c r="R12" s="102">
        <f t="shared" si="0"/>
        <v>1069.238377843719</v>
      </c>
      <c r="S12" s="80">
        <f t="shared" si="0"/>
        <v>1122.7002967359051</v>
      </c>
      <c r="T12" s="80">
        <f t="shared" si="0"/>
        <v>1176.162215628091</v>
      </c>
      <c r="U12" s="80">
        <f t="shared" si="0"/>
        <v>1229.6241345202768</v>
      </c>
    </row>
    <row r="13" spans="1:21" ht="22.5" customHeight="1" thickBot="1" x14ac:dyDescent="0.3">
      <c r="E13" s="464" t="s">
        <v>416</v>
      </c>
      <c r="F13" s="465"/>
      <c r="G13" s="440">
        <v>730</v>
      </c>
      <c r="H13" s="147"/>
      <c r="I13" s="479" t="s">
        <v>524</v>
      </c>
      <c r="J13" s="479"/>
      <c r="K13" s="25">
        <f>(Ressources!L302+'Besoins structurels'!V302+'Besoins structurels'!N302+'Besoins structurels'!I302)</f>
        <v>-32157949</v>
      </c>
      <c r="M13" s="468" t="s">
        <v>479</v>
      </c>
      <c r="N13" s="480">
        <v>2</v>
      </c>
      <c r="O13" s="480">
        <v>3</v>
      </c>
      <c r="P13" s="480">
        <v>3.5</v>
      </c>
      <c r="Q13" s="480">
        <v>4</v>
      </c>
      <c r="R13" s="480">
        <v>5</v>
      </c>
      <c r="S13" s="480">
        <v>6</v>
      </c>
      <c r="T13" s="480">
        <v>7</v>
      </c>
      <c r="U13" s="480">
        <v>8</v>
      </c>
    </row>
    <row r="14" spans="1:21" ht="22.5" customHeight="1" thickTop="1" thickBot="1" x14ac:dyDescent="0.3">
      <c r="A14" s="451" t="s">
        <v>455</v>
      </c>
      <c r="B14" s="451"/>
      <c r="C14" s="451"/>
      <c r="E14" s="464" t="s">
        <v>601</v>
      </c>
      <c r="F14" s="465"/>
      <c r="G14" s="444">
        <v>0.35</v>
      </c>
      <c r="H14" s="422"/>
      <c r="I14" s="469" t="s">
        <v>525</v>
      </c>
      <c r="J14" s="470"/>
      <c r="K14" s="148">
        <f>K9+SUM(K10:K13)</f>
        <v>57077976</v>
      </c>
      <c r="M14" s="468"/>
      <c r="N14" s="480"/>
      <c r="O14" s="480"/>
      <c r="P14" s="480"/>
      <c r="Q14" s="480"/>
      <c r="R14" s="480"/>
      <c r="S14" s="480"/>
      <c r="T14" s="480"/>
      <c r="U14" s="480"/>
    </row>
    <row r="15" spans="1:21" ht="22.5" customHeight="1" thickTop="1" x14ac:dyDescent="0.25">
      <c r="A15" s="459" t="s">
        <v>456</v>
      </c>
      <c r="B15" s="459"/>
      <c r="C15" s="81">
        <v>74269768</v>
      </c>
    </row>
    <row r="16" spans="1:21" ht="22.5" customHeight="1" x14ac:dyDescent="0.25">
      <c r="A16" s="459" t="s">
        <v>457</v>
      </c>
      <c r="B16" s="459"/>
      <c r="C16" s="142">
        <v>1.4999999999999999E-2</v>
      </c>
      <c r="E16" s="451" t="s">
        <v>590</v>
      </c>
      <c r="F16" s="451"/>
      <c r="G16" s="451"/>
      <c r="I16" s="464" t="s">
        <v>461</v>
      </c>
      <c r="J16" s="465"/>
      <c r="K16" s="131">
        <f>IF(N5=2025,100%,IF(N5=2026,100%,IF(N5=2027,75%,IF(N5=2028,50%,IF(N5=2029,25%,0)))))</f>
        <v>0.75</v>
      </c>
      <c r="M16" s="138" t="s">
        <v>559</v>
      </c>
      <c r="N16" s="448" t="s">
        <v>531</v>
      </c>
      <c r="O16" s="448"/>
      <c r="P16" s="448"/>
      <c r="Q16" s="448"/>
      <c r="R16" s="448"/>
      <c r="S16" s="448"/>
      <c r="T16" s="448"/>
      <c r="U16" s="448"/>
    </row>
    <row r="17" spans="1:21" ht="22.5" customHeight="1" thickBot="1" x14ac:dyDescent="0.3">
      <c r="A17" s="459" t="str">
        <f>CONCATENATE("Facture ",N5)</f>
        <v>Facture 2027</v>
      </c>
      <c r="B17" s="459"/>
      <c r="C17" s="12">
        <f>ROUND((C15*(1+C16)^(N5-2025)),0)</f>
        <v>76514572</v>
      </c>
      <c r="E17" s="459" t="s">
        <v>453</v>
      </c>
      <c r="F17" s="459"/>
      <c r="G17" s="140">
        <v>1.2</v>
      </c>
      <c r="I17" s="464" t="s">
        <v>585</v>
      </c>
      <c r="J17" s="465"/>
      <c r="K17" s="421">
        <f>-K13-K12</f>
        <v>39742924</v>
      </c>
      <c r="M17" s="138" t="s">
        <v>515</v>
      </c>
      <c r="N17" s="448" t="s">
        <v>537</v>
      </c>
      <c r="O17" s="448"/>
      <c r="P17" s="448"/>
      <c r="Q17" s="448"/>
      <c r="R17" s="448"/>
      <c r="S17" s="448"/>
      <c r="T17" s="448"/>
      <c r="U17" s="448"/>
    </row>
    <row r="18" spans="1:21" ht="22.5" customHeight="1" thickTop="1" thickBot="1" x14ac:dyDescent="0.3">
      <c r="A18" s="464" t="s">
        <v>458</v>
      </c>
      <c r="B18" s="465"/>
      <c r="C18" s="140">
        <v>0.35</v>
      </c>
      <c r="E18" s="459" t="s">
        <v>409</v>
      </c>
      <c r="F18" s="459"/>
      <c r="G18" s="53">
        <v>4000</v>
      </c>
      <c r="I18" s="469" t="s">
        <v>558</v>
      </c>
      <c r="J18" s="470"/>
      <c r="K18" s="443">
        <v>19772126.056666698</v>
      </c>
      <c r="M18" s="138" t="s">
        <v>462</v>
      </c>
      <c r="N18" s="448" t="s">
        <v>528</v>
      </c>
      <c r="O18" s="448"/>
      <c r="P18" s="448"/>
      <c r="Q18" s="448"/>
      <c r="R18" s="448"/>
      <c r="S18" s="448"/>
      <c r="T18" s="448"/>
      <c r="U18" s="448"/>
    </row>
    <row r="19" spans="1:21" ht="22.5" customHeight="1" thickTop="1" x14ac:dyDescent="0.25">
      <c r="A19" s="464" t="s">
        <v>459</v>
      </c>
      <c r="B19" s="465"/>
      <c r="C19" s="140">
        <v>0.5</v>
      </c>
      <c r="E19" s="459" t="s">
        <v>406</v>
      </c>
      <c r="F19" s="459"/>
      <c r="G19" s="80">
        <f>G18/P5*Q5</f>
        <v>4276.9535113748761</v>
      </c>
      <c r="M19" s="138" t="s">
        <v>463</v>
      </c>
      <c r="N19" s="448" t="s">
        <v>529</v>
      </c>
      <c r="O19" s="448"/>
      <c r="P19" s="448"/>
      <c r="Q19" s="448"/>
      <c r="R19" s="448"/>
      <c r="S19" s="448"/>
      <c r="T19" s="448"/>
      <c r="U19" s="448"/>
    </row>
    <row r="20" spans="1:21" ht="22.5" customHeight="1" x14ac:dyDescent="0.25">
      <c r="A20" s="466" t="s">
        <v>460</v>
      </c>
      <c r="B20" s="467"/>
      <c r="C20" s="140">
        <v>0.5</v>
      </c>
      <c r="E20" s="459" t="s">
        <v>407</v>
      </c>
      <c r="F20" s="459"/>
      <c r="G20" s="141">
        <v>0.15</v>
      </c>
      <c r="I20" s="462" t="s">
        <v>586</v>
      </c>
      <c r="J20" s="463"/>
      <c r="K20" s="426">
        <v>40590297.160000004</v>
      </c>
      <c r="M20" s="138" t="s">
        <v>464</v>
      </c>
      <c r="N20" s="448" t="s">
        <v>530</v>
      </c>
      <c r="O20" s="448"/>
      <c r="P20" s="448"/>
      <c r="Q20" s="448"/>
      <c r="R20" s="448"/>
      <c r="S20" s="448"/>
      <c r="T20" s="448"/>
      <c r="U20" s="448"/>
    </row>
    <row r="21" spans="1:21" ht="22.5" customHeight="1" x14ac:dyDescent="0.25">
      <c r="G21" s="150"/>
    </row>
    <row r="22" spans="1:21" ht="18.75" x14ac:dyDescent="0.25">
      <c r="A22" s="149" t="s">
        <v>413</v>
      </c>
      <c r="C22" s="149" t="s">
        <v>513</v>
      </c>
    </row>
    <row r="23" spans="1:21" x14ac:dyDescent="0.25">
      <c r="A23" s="229" t="s">
        <v>220</v>
      </c>
      <c r="B23" s="135">
        <v>5621</v>
      </c>
      <c r="C23" s="150">
        <v>0</v>
      </c>
    </row>
    <row r="24" spans="1:21" x14ac:dyDescent="0.25">
      <c r="A24" s="229" t="s">
        <v>296</v>
      </c>
      <c r="B24" s="135">
        <v>5742</v>
      </c>
      <c r="C24" s="150">
        <v>0</v>
      </c>
    </row>
    <row r="25" spans="1:21" x14ac:dyDescent="0.25">
      <c r="A25" s="229" t="s">
        <v>66</v>
      </c>
      <c r="B25" s="135">
        <v>5401</v>
      </c>
      <c r="C25" s="150">
        <v>0</v>
      </c>
    </row>
    <row r="26" spans="1:21" x14ac:dyDescent="0.25">
      <c r="A26" s="229" t="s">
        <v>340</v>
      </c>
      <c r="B26" s="135">
        <v>5851</v>
      </c>
      <c r="C26" s="150">
        <v>0</v>
      </c>
    </row>
    <row r="27" spans="1:21" x14ac:dyDescent="0.25">
      <c r="A27" s="229" t="s">
        <v>265</v>
      </c>
      <c r="B27" s="135">
        <v>5701</v>
      </c>
      <c r="C27" s="150">
        <v>0</v>
      </c>
    </row>
    <row r="28" spans="1:21" x14ac:dyDescent="0.25">
      <c r="A28" s="229" t="s">
        <v>297</v>
      </c>
      <c r="B28" s="135">
        <v>5743</v>
      </c>
      <c r="C28" s="150">
        <v>0</v>
      </c>
    </row>
    <row r="29" spans="1:21" x14ac:dyDescent="0.25">
      <c r="A29" s="229" t="s">
        <v>266</v>
      </c>
      <c r="B29" s="135">
        <v>5702</v>
      </c>
      <c r="C29" s="150">
        <v>0</v>
      </c>
    </row>
    <row r="30" spans="1:21" x14ac:dyDescent="0.25">
      <c r="A30" s="229" t="s">
        <v>165</v>
      </c>
      <c r="B30" s="135">
        <v>5511</v>
      </c>
      <c r="C30" s="150">
        <v>58900</v>
      </c>
    </row>
    <row r="31" spans="1:21" x14ac:dyDescent="0.25">
      <c r="A31" s="229" t="s">
        <v>119</v>
      </c>
      <c r="B31" s="135">
        <v>5422</v>
      </c>
      <c r="C31" s="150">
        <v>0</v>
      </c>
    </row>
    <row r="32" spans="1:21" x14ac:dyDescent="0.25">
      <c r="A32" s="229" t="s">
        <v>132</v>
      </c>
      <c r="B32" s="135">
        <v>5451</v>
      </c>
      <c r="C32" s="150">
        <v>224200</v>
      </c>
    </row>
    <row r="33" spans="1:3" x14ac:dyDescent="0.25">
      <c r="A33" s="229" t="s">
        <v>298</v>
      </c>
      <c r="B33" s="135">
        <v>5744</v>
      </c>
      <c r="C33" s="150">
        <v>49300</v>
      </c>
    </row>
    <row r="34" spans="1:3" x14ac:dyDescent="0.25">
      <c r="A34" s="229" t="s">
        <v>411</v>
      </c>
      <c r="B34" s="135">
        <v>5423</v>
      </c>
      <c r="C34" s="150">
        <v>0</v>
      </c>
    </row>
    <row r="35" spans="1:3" x14ac:dyDescent="0.25">
      <c r="A35" s="229" t="s">
        <v>412</v>
      </c>
      <c r="B35" s="135">
        <v>5703</v>
      </c>
      <c r="C35" s="150">
        <v>0</v>
      </c>
    </row>
    <row r="36" spans="1:3" x14ac:dyDescent="0.25">
      <c r="A36" s="229" t="s">
        <v>299</v>
      </c>
      <c r="B36" s="135">
        <v>5745</v>
      </c>
      <c r="C36" s="150">
        <v>192100</v>
      </c>
    </row>
    <row r="37" spans="1:3" x14ac:dyDescent="0.25">
      <c r="A37" s="229" t="s">
        <v>300</v>
      </c>
      <c r="B37" s="135">
        <v>5746</v>
      </c>
      <c r="C37" s="150">
        <v>87800</v>
      </c>
    </row>
    <row r="38" spans="1:3" x14ac:dyDescent="0.25">
      <c r="A38" s="229" t="s">
        <v>267</v>
      </c>
      <c r="B38" s="135">
        <v>5704</v>
      </c>
      <c r="C38" s="150">
        <v>0</v>
      </c>
    </row>
    <row r="39" spans="1:3" x14ac:dyDescent="0.25">
      <c r="A39" s="229" t="s">
        <v>202</v>
      </c>
      <c r="B39" s="135">
        <v>5581</v>
      </c>
      <c r="C39" s="150">
        <v>0</v>
      </c>
    </row>
    <row r="40" spans="1:3" x14ac:dyDescent="0.25">
      <c r="A40" s="229" t="s">
        <v>365</v>
      </c>
      <c r="B40" s="135">
        <v>5902</v>
      </c>
      <c r="C40" s="150">
        <v>0</v>
      </c>
    </row>
    <row r="41" spans="1:3" x14ac:dyDescent="0.25">
      <c r="A41" s="229" t="s">
        <v>166</v>
      </c>
      <c r="B41" s="135">
        <v>5512</v>
      </c>
      <c r="C41" s="150">
        <v>192200</v>
      </c>
    </row>
    <row r="42" spans="1:3" x14ac:dyDescent="0.25">
      <c r="A42" s="229" t="s">
        <v>120</v>
      </c>
      <c r="B42" s="135">
        <v>5424</v>
      </c>
      <c r="C42" s="150">
        <v>0</v>
      </c>
    </row>
    <row r="43" spans="1:3" x14ac:dyDescent="0.25">
      <c r="A43" s="229" t="s">
        <v>136</v>
      </c>
      <c r="B43" s="135">
        <v>5471</v>
      </c>
      <c r="C43" s="150">
        <v>0</v>
      </c>
    </row>
    <row r="44" spans="1:3" x14ac:dyDescent="0.25">
      <c r="A44" s="229" t="s">
        <v>105</v>
      </c>
      <c r="B44" s="135">
        <v>5402</v>
      </c>
      <c r="C44" s="150">
        <v>147500</v>
      </c>
    </row>
    <row r="45" spans="1:3" x14ac:dyDescent="0.25">
      <c r="A45" s="229" t="s">
        <v>121</v>
      </c>
      <c r="B45" s="135">
        <v>5425</v>
      </c>
      <c r="C45" s="150">
        <v>189800</v>
      </c>
    </row>
    <row r="46" spans="1:3" x14ac:dyDescent="0.25">
      <c r="A46" s="229" t="s">
        <v>366</v>
      </c>
      <c r="B46" s="135">
        <v>5903</v>
      </c>
      <c r="C46" s="150">
        <v>105700</v>
      </c>
    </row>
    <row r="47" spans="1:3" x14ac:dyDescent="0.25">
      <c r="A47" s="229" t="s">
        <v>364</v>
      </c>
      <c r="B47" s="135">
        <v>5892</v>
      </c>
      <c r="C47" s="150">
        <v>324400</v>
      </c>
    </row>
    <row r="48" spans="1:3" x14ac:dyDescent="0.25">
      <c r="A48" s="229" t="s">
        <v>301</v>
      </c>
      <c r="B48" s="135">
        <v>5747</v>
      </c>
      <c r="C48" s="150">
        <v>0</v>
      </c>
    </row>
    <row r="49" spans="1:3" x14ac:dyDescent="0.25">
      <c r="A49" s="229" t="s">
        <v>268</v>
      </c>
      <c r="B49" s="135">
        <v>5705</v>
      </c>
      <c r="C49" s="150">
        <v>0</v>
      </c>
    </row>
    <row r="50" spans="1:3" x14ac:dyDescent="0.25">
      <c r="A50" s="229" t="s">
        <v>186</v>
      </c>
      <c r="B50" s="135">
        <v>5551</v>
      </c>
      <c r="C50" s="150">
        <v>0</v>
      </c>
    </row>
    <row r="51" spans="1:3" x14ac:dyDescent="0.25">
      <c r="A51" s="229" t="s">
        <v>269</v>
      </c>
      <c r="B51" s="135">
        <v>5706</v>
      </c>
      <c r="C51" s="150">
        <v>0</v>
      </c>
    </row>
    <row r="52" spans="1:3" x14ac:dyDescent="0.25">
      <c r="A52" s="229" t="s">
        <v>167</v>
      </c>
      <c r="B52" s="135">
        <v>5514</v>
      </c>
      <c r="C52" s="150">
        <v>0</v>
      </c>
    </row>
    <row r="53" spans="1:3" x14ac:dyDescent="0.25">
      <c r="A53" s="229" t="s">
        <v>122</v>
      </c>
      <c r="B53" s="135">
        <v>5426</v>
      </c>
      <c r="C53" s="150">
        <v>0</v>
      </c>
    </row>
    <row r="54" spans="1:3" x14ac:dyDescent="0.25">
      <c r="A54" s="229" t="s">
        <v>249</v>
      </c>
      <c r="B54" s="135">
        <v>5661</v>
      </c>
      <c r="C54" s="150">
        <v>0</v>
      </c>
    </row>
    <row r="55" spans="1:3" x14ac:dyDescent="0.25">
      <c r="A55" s="229" t="s">
        <v>219</v>
      </c>
      <c r="B55" s="135">
        <v>5613</v>
      </c>
      <c r="C55" s="150">
        <v>0</v>
      </c>
    </row>
    <row r="56" spans="1:3" x14ac:dyDescent="0.25">
      <c r="A56" s="229" t="s">
        <v>137</v>
      </c>
      <c r="B56" s="135">
        <v>5472</v>
      </c>
      <c r="C56" s="150">
        <v>0</v>
      </c>
    </row>
    <row r="57" spans="1:3" x14ac:dyDescent="0.25">
      <c r="A57" s="229" t="s">
        <v>138</v>
      </c>
      <c r="B57" s="135">
        <v>5473</v>
      </c>
      <c r="C57" s="150">
        <v>0</v>
      </c>
    </row>
    <row r="58" spans="1:3" x14ac:dyDescent="0.25">
      <c r="A58" s="229" t="s">
        <v>221</v>
      </c>
      <c r="B58" s="135">
        <v>5622</v>
      </c>
      <c r="C58" s="150">
        <v>0</v>
      </c>
    </row>
    <row r="59" spans="1:3" x14ac:dyDescent="0.25">
      <c r="A59" s="229" t="s">
        <v>168</v>
      </c>
      <c r="B59" s="135">
        <v>5515</v>
      </c>
      <c r="C59" s="150">
        <v>6500</v>
      </c>
    </row>
    <row r="60" spans="1:3" x14ac:dyDescent="0.25">
      <c r="A60" s="229" t="s">
        <v>302</v>
      </c>
      <c r="B60" s="135">
        <v>5748</v>
      </c>
      <c r="C60" s="150">
        <v>0</v>
      </c>
    </row>
    <row r="61" spans="1:3" x14ac:dyDescent="0.25">
      <c r="A61" s="229" t="s">
        <v>222</v>
      </c>
      <c r="B61" s="135">
        <v>5623</v>
      </c>
      <c r="C61" s="150">
        <v>0</v>
      </c>
    </row>
    <row r="62" spans="1:3" x14ac:dyDescent="0.25">
      <c r="A62" s="229" t="s">
        <v>187</v>
      </c>
      <c r="B62" s="135">
        <v>5552</v>
      </c>
      <c r="C62" s="150">
        <v>0</v>
      </c>
    </row>
    <row r="63" spans="1:3" x14ac:dyDescent="0.25">
      <c r="A63" s="229" t="s">
        <v>341</v>
      </c>
      <c r="B63" s="135">
        <v>5852</v>
      </c>
      <c r="C63" s="150">
        <v>0</v>
      </c>
    </row>
    <row r="64" spans="1:3" x14ac:dyDescent="0.25">
      <c r="A64" s="229" t="s">
        <v>342</v>
      </c>
      <c r="B64" s="135">
        <v>5853</v>
      </c>
      <c r="C64" s="150">
        <v>0</v>
      </c>
    </row>
    <row r="65" spans="1:3" x14ac:dyDescent="0.25">
      <c r="A65" s="229" t="s">
        <v>343</v>
      </c>
      <c r="B65" s="135">
        <v>5854</v>
      </c>
      <c r="C65" s="150">
        <v>0</v>
      </c>
    </row>
    <row r="66" spans="1:3" x14ac:dyDescent="0.25">
      <c r="A66" s="229" t="s">
        <v>223</v>
      </c>
      <c r="B66" s="135">
        <v>5624</v>
      </c>
      <c r="C66" s="150">
        <v>0</v>
      </c>
    </row>
    <row r="67" spans="1:3" x14ac:dyDescent="0.25">
      <c r="A67" s="229" t="s">
        <v>250</v>
      </c>
      <c r="B67" s="135">
        <v>5663</v>
      </c>
      <c r="C67" s="150">
        <v>18300</v>
      </c>
    </row>
    <row r="68" spans="1:3" x14ac:dyDescent="0.25">
      <c r="A68" s="229" t="s">
        <v>367</v>
      </c>
      <c r="B68" s="135">
        <v>5904</v>
      </c>
      <c r="C68" s="150">
        <v>0</v>
      </c>
    </row>
    <row r="69" spans="1:3" x14ac:dyDescent="0.25">
      <c r="A69" s="229" t="s">
        <v>188</v>
      </c>
      <c r="B69" s="135">
        <v>5553</v>
      </c>
      <c r="C69" s="150">
        <v>56900</v>
      </c>
    </row>
    <row r="70" spans="1:3" x14ac:dyDescent="0.25">
      <c r="A70" s="229" t="s">
        <v>328</v>
      </c>
      <c r="B70" s="135">
        <v>5812</v>
      </c>
      <c r="C70" s="150">
        <v>5200</v>
      </c>
    </row>
    <row r="71" spans="1:3" x14ac:dyDescent="0.25">
      <c r="A71" s="229" t="s">
        <v>368</v>
      </c>
      <c r="B71" s="135">
        <v>5905</v>
      </c>
      <c r="C71" s="150">
        <v>0</v>
      </c>
    </row>
    <row r="72" spans="1:3" x14ac:dyDescent="0.25">
      <c r="A72" s="229" t="s">
        <v>356</v>
      </c>
      <c r="B72" s="135">
        <v>5882</v>
      </c>
      <c r="C72" s="150">
        <v>0</v>
      </c>
    </row>
    <row r="73" spans="1:3" x14ac:dyDescent="0.25">
      <c r="A73" s="229" t="s">
        <v>101</v>
      </c>
      <c r="B73" s="135">
        <v>5841</v>
      </c>
      <c r="C73" s="150">
        <v>170200</v>
      </c>
    </row>
    <row r="74" spans="1:3" x14ac:dyDescent="0.25">
      <c r="A74" s="229" t="s">
        <v>270</v>
      </c>
      <c r="B74" s="135">
        <v>5707</v>
      </c>
      <c r="C74" s="150">
        <v>0</v>
      </c>
    </row>
    <row r="75" spans="1:3" x14ac:dyDescent="0.25">
      <c r="A75" s="229" t="s">
        <v>271</v>
      </c>
      <c r="B75" s="135">
        <v>5708</v>
      </c>
      <c r="C75" s="150">
        <v>0</v>
      </c>
    </row>
    <row r="76" spans="1:3" x14ac:dyDescent="0.25">
      <c r="A76" s="229" t="s">
        <v>369</v>
      </c>
      <c r="B76" s="135">
        <v>5907</v>
      </c>
      <c r="C76" s="150">
        <v>27800</v>
      </c>
    </row>
    <row r="77" spans="1:3" x14ac:dyDescent="0.25">
      <c r="A77" s="229" t="s">
        <v>140</v>
      </c>
      <c r="B77" s="135">
        <v>5475</v>
      </c>
      <c r="C77" s="150">
        <v>18100</v>
      </c>
    </row>
    <row r="78" spans="1:3" x14ac:dyDescent="0.25">
      <c r="A78" s="229" t="s">
        <v>224</v>
      </c>
      <c r="B78" s="135">
        <v>5627</v>
      </c>
      <c r="C78" s="150">
        <v>0</v>
      </c>
    </row>
    <row r="79" spans="1:3" x14ac:dyDescent="0.25">
      <c r="A79" s="229" t="s">
        <v>251</v>
      </c>
      <c r="B79" s="135">
        <v>5665</v>
      </c>
      <c r="C79" s="150">
        <v>0</v>
      </c>
    </row>
    <row r="80" spans="1:3" x14ac:dyDescent="0.25">
      <c r="A80" s="229" t="s">
        <v>303</v>
      </c>
      <c r="B80" s="135">
        <v>5749</v>
      </c>
      <c r="C80" s="150">
        <v>0</v>
      </c>
    </row>
    <row r="81" spans="1:3" x14ac:dyDescent="0.25">
      <c r="A81" s="229" t="s">
        <v>370</v>
      </c>
      <c r="B81" s="135">
        <v>5908</v>
      </c>
      <c r="C81" s="150">
        <v>0</v>
      </c>
    </row>
    <row r="82" spans="1:3" x14ac:dyDescent="0.25">
      <c r="A82" s="229" t="s">
        <v>371</v>
      </c>
      <c r="B82" s="135">
        <v>5909</v>
      </c>
      <c r="C82" s="150">
        <v>0</v>
      </c>
    </row>
    <row r="83" spans="1:3" x14ac:dyDescent="0.25">
      <c r="A83" s="229" t="s">
        <v>203</v>
      </c>
      <c r="B83" s="135">
        <v>5582</v>
      </c>
      <c r="C83" s="150">
        <v>0</v>
      </c>
    </row>
    <row r="84" spans="1:3" x14ac:dyDescent="0.25">
      <c r="A84" s="229" t="s">
        <v>272</v>
      </c>
      <c r="B84" s="135">
        <v>5709</v>
      </c>
      <c r="C84" s="150">
        <v>0</v>
      </c>
    </row>
    <row r="85" spans="1:3" x14ac:dyDescent="0.25">
      <c r="A85" s="229" t="s">
        <v>106</v>
      </c>
      <c r="B85" s="135">
        <v>5403</v>
      </c>
      <c r="C85" s="150">
        <v>0</v>
      </c>
    </row>
    <row r="86" spans="1:3" x14ac:dyDescent="0.25">
      <c r="A86" s="229" t="s">
        <v>141</v>
      </c>
      <c r="B86" s="135">
        <v>5476</v>
      </c>
      <c r="C86" s="150">
        <v>0</v>
      </c>
    </row>
    <row r="87" spans="1:3" x14ac:dyDescent="0.25">
      <c r="A87" s="229" t="s">
        <v>329</v>
      </c>
      <c r="B87" s="135">
        <v>5813</v>
      </c>
      <c r="C87" s="150">
        <v>0</v>
      </c>
    </row>
    <row r="88" spans="1:3" x14ac:dyDescent="0.25">
      <c r="A88" s="229" t="s">
        <v>212</v>
      </c>
      <c r="B88" s="135">
        <v>5601</v>
      </c>
      <c r="C88" s="150">
        <v>0</v>
      </c>
    </row>
    <row r="89" spans="1:3" x14ac:dyDescent="0.25">
      <c r="A89" s="229" t="s">
        <v>225</v>
      </c>
      <c r="B89" s="135">
        <v>5628</v>
      </c>
      <c r="C89" s="150">
        <v>0</v>
      </c>
    </row>
    <row r="90" spans="1:3" x14ac:dyDescent="0.25">
      <c r="A90" s="229" t="s">
        <v>226</v>
      </c>
      <c r="B90" s="135">
        <v>5629</v>
      </c>
      <c r="C90" s="150">
        <v>25400</v>
      </c>
    </row>
    <row r="91" spans="1:3" x14ac:dyDescent="0.25">
      <c r="A91" s="229" t="s">
        <v>273</v>
      </c>
      <c r="B91" s="135">
        <v>5710</v>
      </c>
      <c r="C91" s="150">
        <v>0</v>
      </c>
    </row>
    <row r="92" spans="1:3" x14ac:dyDescent="0.25">
      <c r="A92" s="229" t="s">
        <v>274</v>
      </c>
      <c r="B92" s="135">
        <v>5711</v>
      </c>
      <c r="C92" s="150">
        <v>0</v>
      </c>
    </row>
    <row r="93" spans="1:3" x14ac:dyDescent="0.25">
      <c r="A93" s="229" t="s">
        <v>189</v>
      </c>
      <c r="B93" s="135">
        <v>5554</v>
      </c>
      <c r="C93" s="150">
        <v>24600</v>
      </c>
    </row>
    <row r="94" spans="1:3" x14ac:dyDescent="0.25">
      <c r="A94" s="229" t="s">
        <v>275</v>
      </c>
      <c r="B94" s="135">
        <v>5712</v>
      </c>
      <c r="C94" s="150">
        <v>0</v>
      </c>
    </row>
    <row r="95" spans="1:3" x14ac:dyDescent="0.25">
      <c r="A95" s="229" t="s">
        <v>107</v>
      </c>
      <c r="B95" s="135">
        <v>5404</v>
      </c>
      <c r="C95" s="150">
        <v>0</v>
      </c>
    </row>
    <row r="96" spans="1:3" x14ac:dyDescent="0.25">
      <c r="A96" s="229" t="s">
        <v>319</v>
      </c>
      <c r="B96" s="135">
        <v>5785</v>
      </c>
      <c r="C96" s="150">
        <v>0</v>
      </c>
    </row>
    <row r="97" spans="1:3" x14ac:dyDescent="0.25">
      <c r="A97" s="229" t="s">
        <v>190</v>
      </c>
      <c r="B97" s="135">
        <v>5555</v>
      </c>
      <c r="C97" s="150">
        <v>68700</v>
      </c>
    </row>
    <row r="98" spans="1:3" x14ac:dyDescent="0.25">
      <c r="A98" s="229" t="s">
        <v>330</v>
      </c>
      <c r="B98" s="135">
        <v>5816</v>
      </c>
      <c r="C98" s="150">
        <v>0</v>
      </c>
    </row>
    <row r="99" spans="1:3" x14ac:dyDescent="0.25">
      <c r="A99" s="229" t="s">
        <v>357</v>
      </c>
      <c r="B99" s="135">
        <v>5883</v>
      </c>
      <c r="C99" s="150">
        <v>0</v>
      </c>
    </row>
    <row r="100" spans="1:3" x14ac:dyDescent="0.25">
      <c r="A100" s="229" t="s">
        <v>358</v>
      </c>
      <c r="B100" s="135">
        <v>5884</v>
      </c>
      <c r="C100" s="150">
        <v>0</v>
      </c>
    </row>
    <row r="101" spans="1:3" x14ac:dyDescent="0.25">
      <c r="A101" s="229" t="s">
        <v>142</v>
      </c>
      <c r="B101" s="135">
        <v>5477</v>
      </c>
      <c r="C101" s="150">
        <v>194400</v>
      </c>
    </row>
    <row r="102" spans="1:3" x14ac:dyDescent="0.25">
      <c r="A102" s="229" t="s">
        <v>276</v>
      </c>
      <c r="B102" s="135">
        <v>5713</v>
      </c>
      <c r="C102" s="150">
        <v>0</v>
      </c>
    </row>
    <row r="103" spans="1:3" x14ac:dyDescent="0.25">
      <c r="A103" s="229" t="s">
        <v>277</v>
      </c>
      <c r="B103" s="135">
        <v>5714</v>
      </c>
      <c r="C103" s="150">
        <v>0</v>
      </c>
    </row>
    <row r="104" spans="1:3" x14ac:dyDescent="0.25">
      <c r="A104" s="229" t="s">
        <v>204</v>
      </c>
      <c r="B104" s="135">
        <v>5583</v>
      </c>
      <c r="C104" s="150">
        <v>0</v>
      </c>
    </row>
    <row r="105" spans="1:3" x14ac:dyDescent="0.25">
      <c r="A105" s="229" t="s">
        <v>372</v>
      </c>
      <c r="B105" s="135">
        <v>5910</v>
      </c>
      <c r="C105" s="150">
        <v>0</v>
      </c>
    </row>
    <row r="106" spans="1:3" x14ac:dyDescent="0.25">
      <c r="A106" s="229" t="s">
        <v>305</v>
      </c>
      <c r="B106" s="135">
        <v>5752</v>
      </c>
      <c r="C106" s="150">
        <v>94500</v>
      </c>
    </row>
    <row r="107" spans="1:3" x14ac:dyDescent="0.25">
      <c r="A107" s="229" t="s">
        <v>143</v>
      </c>
      <c r="B107" s="135">
        <v>5479</v>
      </c>
      <c r="C107" s="150">
        <v>183700</v>
      </c>
    </row>
    <row r="108" spans="1:3" x14ac:dyDescent="0.25">
      <c r="A108" s="229" t="s">
        <v>373</v>
      </c>
      <c r="B108" s="135">
        <v>5911</v>
      </c>
      <c r="C108" s="150">
        <v>0</v>
      </c>
    </row>
    <row r="109" spans="1:3" x14ac:dyDescent="0.25">
      <c r="A109" s="229" t="s">
        <v>133</v>
      </c>
      <c r="B109" s="135">
        <v>5456</v>
      </c>
      <c r="C109" s="150">
        <v>0</v>
      </c>
    </row>
    <row r="110" spans="1:3" x14ac:dyDescent="0.25">
      <c r="A110" s="229" t="s">
        <v>169</v>
      </c>
      <c r="B110" s="135">
        <v>5516</v>
      </c>
      <c r="C110" s="150">
        <v>24100</v>
      </c>
    </row>
    <row r="111" spans="1:3" x14ac:dyDescent="0.25">
      <c r="A111" s="229" t="s">
        <v>144</v>
      </c>
      <c r="B111" s="135">
        <v>5480</v>
      </c>
      <c r="C111" s="150">
        <v>0</v>
      </c>
    </row>
    <row r="112" spans="1:3" x14ac:dyDescent="0.25">
      <c r="A112" s="229" t="s">
        <v>374</v>
      </c>
      <c r="B112" s="135">
        <v>5912</v>
      </c>
      <c r="C112" s="150">
        <v>0</v>
      </c>
    </row>
    <row r="113" spans="1:3" x14ac:dyDescent="0.25">
      <c r="A113" s="229" t="s">
        <v>227</v>
      </c>
      <c r="B113" s="135">
        <v>5631</v>
      </c>
      <c r="C113" s="150">
        <v>0</v>
      </c>
    </row>
    <row r="114" spans="1:3" x14ac:dyDescent="0.25">
      <c r="A114" s="229" t="s">
        <v>228</v>
      </c>
      <c r="B114" s="135">
        <v>5632</v>
      </c>
      <c r="C114" s="150">
        <v>0</v>
      </c>
    </row>
    <row r="115" spans="1:3" x14ac:dyDescent="0.25">
      <c r="A115" s="229" t="s">
        <v>145</v>
      </c>
      <c r="B115" s="135">
        <v>5481</v>
      </c>
      <c r="C115" s="150">
        <v>0</v>
      </c>
    </row>
    <row r="116" spans="1:3" x14ac:dyDescent="0.25">
      <c r="A116" s="229" t="s">
        <v>253</v>
      </c>
      <c r="B116" s="135">
        <v>5671</v>
      </c>
      <c r="C116" s="150">
        <v>25700</v>
      </c>
    </row>
    <row r="117" spans="1:3" x14ac:dyDescent="0.25">
      <c r="A117" s="229" t="s">
        <v>375</v>
      </c>
      <c r="B117" s="135">
        <v>5913</v>
      </c>
      <c r="C117" s="150">
        <v>0</v>
      </c>
    </row>
    <row r="118" spans="1:3" x14ac:dyDescent="0.25">
      <c r="A118" s="229" t="s">
        <v>278</v>
      </c>
      <c r="B118" s="135">
        <v>5715</v>
      </c>
      <c r="C118" s="150">
        <v>0</v>
      </c>
    </row>
    <row r="119" spans="1:3" x14ac:dyDescent="0.25">
      <c r="A119" s="229" t="s">
        <v>344</v>
      </c>
      <c r="B119" s="135">
        <v>5855</v>
      </c>
      <c r="C119" s="150">
        <v>0</v>
      </c>
    </row>
    <row r="120" spans="1:3" x14ac:dyDescent="0.25">
      <c r="A120" s="229" t="s">
        <v>170</v>
      </c>
      <c r="B120" s="135">
        <v>5518</v>
      </c>
      <c r="C120" s="150">
        <v>385500</v>
      </c>
    </row>
    <row r="121" spans="1:3" x14ac:dyDescent="0.25">
      <c r="A121" s="229" t="s">
        <v>229</v>
      </c>
      <c r="B121" s="135">
        <v>5633</v>
      </c>
      <c r="C121" s="150">
        <v>0</v>
      </c>
    </row>
    <row r="122" spans="1:3" x14ac:dyDescent="0.25">
      <c r="A122" s="229" t="s">
        <v>230</v>
      </c>
      <c r="B122" s="135">
        <v>5634</v>
      </c>
      <c r="C122" s="150">
        <v>0</v>
      </c>
    </row>
    <row r="123" spans="1:3" x14ac:dyDescent="0.25">
      <c r="A123" s="229" t="s">
        <v>146</v>
      </c>
      <c r="B123" s="135">
        <v>5482</v>
      </c>
      <c r="C123" s="150">
        <v>0</v>
      </c>
    </row>
    <row r="124" spans="1:3" x14ac:dyDescent="0.25">
      <c r="A124" s="229" t="s">
        <v>231</v>
      </c>
      <c r="B124" s="135">
        <v>5635</v>
      </c>
      <c r="C124" s="150">
        <v>0</v>
      </c>
    </row>
    <row r="125" spans="1:3" x14ac:dyDescent="0.25">
      <c r="A125" s="229" t="s">
        <v>205</v>
      </c>
      <c r="B125" s="135">
        <v>5584</v>
      </c>
      <c r="C125" s="150">
        <v>334500</v>
      </c>
    </row>
    <row r="126" spans="1:3" x14ac:dyDescent="0.25">
      <c r="A126" s="229" t="s">
        <v>376</v>
      </c>
      <c r="B126" s="135">
        <v>5914</v>
      </c>
      <c r="C126" s="150">
        <v>0</v>
      </c>
    </row>
    <row r="127" spans="1:3" x14ac:dyDescent="0.25">
      <c r="A127" s="229" t="s">
        <v>345</v>
      </c>
      <c r="B127" s="135">
        <v>5856</v>
      </c>
      <c r="C127" s="150">
        <v>0</v>
      </c>
    </row>
    <row r="128" spans="1:3" x14ac:dyDescent="0.25">
      <c r="A128" s="229" t="s">
        <v>171</v>
      </c>
      <c r="B128" s="135">
        <v>5520</v>
      </c>
      <c r="C128" s="150">
        <v>0</v>
      </c>
    </row>
    <row r="129" spans="1:3" x14ac:dyDescent="0.25">
      <c r="A129" s="229" t="s">
        <v>172</v>
      </c>
      <c r="B129" s="135">
        <v>5521</v>
      </c>
      <c r="C129" s="150">
        <v>0</v>
      </c>
    </row>
    <row r="130" spans="1:3" x14ac:dyDescent="0.25">
      <c r="A130" s="229" t="s">
        <v>232</v>
      </c>
      <c r="B130" s="135">
        <v>5636</v>
      </c>
      <c r="C130" s="150">
        <v>0</v>
      </c>
    </row>
    <row r="131" spans="1:3" x14ac:dyDescent="0.25">
      <c r="A131" s="229" t="s">
        <v>279</v>
      </c>
      <c r="B131" s="135">
        <v>5716</v>
      </c>
      <c r="C131" s="150">
        <v>0</v>
      </c>
    </row>
    <row r="132" spans="1:3" x14ac:dyDescent="0.25">
      <c r="A132" s="229" t="s">
        <v>134</v>
      </c>
      <c r="B132" s="135">
        <v>5458</v>
      </c>
      <c r="C132" s="150">
        <v>0</v>
      </c>
    </row>
    <row r="133" spans="1:3" x14ac:dyDescent="0.25">
      <c r="A133" s="229" t="s">
        <v>123</v>
      </c>
      <c r="B133" s="135">
        <v>5427</v>
      </c>
      <c r="C133" s="150">
        <v>0</v>
      </c>
    </row>
    <row r="134" spans="1:3" x14ac:dyDescent="0.25">
      <c r="A134" s="229" t="s">
        <v>147</v>
      </c>
      <c r="B134" s="135">
        <v>5483</v>
      </c>
      <c r="C134" s="150">
        <v>0</v>
      </c>
    </row>
    <row r="135" spans="1:3" x14ac:dyDescent="0.25">
      <c r="A135" s="229" t="s">
        <v>173</v>
      </c>
      <c r="B135" s="135">
        <v>5522</v>
      </c>
      <c r="C135" s="150">
        <v>0</v>
      </c>
    </row>
    <row r="136" spans="1:3" x14ac:dyDescent="0.25">
      <c r="A136" s="229" t="s">
        <v>191</v>
      </c>
      <c r="B136" s="135">
        <v>5556</v>
      </c>
      <c r="C136" s="150">
        <v>0</v>
      </c>
    </row>
    <row r="137" spans="1:3" x14ac:dyDescent="0.25">
      <c r="A137" s="229" t="s">
        <v>192</v>
      </c>
      <c r="B137" s="135">
        <v>5557</v>
      </c>
      <c r="C137" s="150">
        <v>0</v>
      </c>
    </row>
    <row r="138" spans="1:3" x14ac:dyDescent="0.25">
      <c r="A138" s="229" t="s">
        <v>213</v>
      </c>
      <c r="B138" s="135">
        <v>5604</v>
      </c>
      <c r="C138" s="150">
        <v>49200</v>
      </c>
    </row>
    <row r="139" spans="1:3" x14ac:dyDescent="0.25">
      <c r="A139" s="229" t="s">
        <v>280</v>
      </c>
      <c r="B139" s="135">
        <v>5717</v>
      </c>
      <c r="C139" s="150">
        <v>0</v>
      </c>
    </row>
    <row r="140" spans="1:3" x14ac:dyDescent="0.25">
      <c r="A140" s="229" t="s">
        <v>174</v>
      </c>
      <c r="B140" s="135">
        <v>5523</v>
      </c>
      <c r="C140" s="150">
        <v>0</v>
      </c>
    </row>
    <row r="141" spans="1:3" x14ac:dyDescent="0.25">
      <c r="A141" s="229" t="s">
        <v>281</v>
      </c>
      <c r="B141" s="135">
        <v>5718</v>
      </c>
      <c r="C141" s="150">
        <v>0</v>
      </c>
    </row>
    <row r="142" spans="1:3" x14ac:dyDescent="0.25">
      <c r="A142" s="229" t="s">
        <v>193</v>
      </c>
      <c r="B142" s="135">
        <v>5559</v>
      </c>
      <c r="C142" s="150">
        <v>0</v>
      </c>
    </row>
    <row r="143" spans="1:3" x14ac:dyDescent="0.25">
      <c r="A143" s="229" t="s">
        <v>346</v>
      </c>
      <c r="B143" s="135">
        <v>5857</v>
      </c>
      <c r="C143" s="150">
        <v>0</v>
      </c>
    </row>
    <row r="144" spans="1:3" x14ac:dyDescent="0.25">
      <c r="A144" s="229" t="s">
        <v>124</v>
      </c>
      <c r="B144" s="135">
        <v>5428</v>
      </c>
      <c r="C144" s="150">
        <v>111800</v>
      </c>
    </row>
    <row r="145" spans="1:3" x14ac:dyDescent="0.25">
      <c r="A145" s="229" t="s">
        <v>282</v>
      </c>
      <c r="B145" s="135">
        <v>5719</v>
      </c>
      <c r="C145" s="150">
        <v>0</v>
      </c>
    </row>
    <row r="146" spans="1:3" x14ac:dyDescent="0.25">
      <c r="A146" s="229" t="s">
        <v>283</v>
      </c>
      <c r="B146" s="135">
        <v>5720</v>
      </c>
      <c r="C146" s="150">
        <v>0</v>
      </c>
    </row>
    <row r="147" spans="1:3" x14ac:dyDescent="0.25">
      <c r="A147" s="229" t="s">
        <v>284</v>
      </c>
      <c r="B147" s="135">
        <v>5721</v>
      </c>
      <c r="C147" s="150">
        <v>0</v>
      </c>
    </row>
    <row r="148" spans="1:3" x14ac:dyDescent="0.25">
      <c r="A148" s="229" t="s">
        <v>148</v>
      </c>
      <c r="B148" s="135">
        <v>5484</v>
      </c>
      <c r="C148" s="150">
        <v>136100</v>
      </c>
    </row>
    <row r="149" spans="1:3" x14ac:dyDescent="0.25">
      <c r="A149" s="229" t="s">
        <v>185</v>
      </c>
      <c r="B149" s="135">
        <v>5541</v>
      </c>
      <c r="C149" s="150">
        <v>0</v>
      </c>
    </row>
    <row r="150" spans="1:3" x14ac:dyDescent="0.25">
      <c r="A150" s="229" t="s">
        <v>149</v>
      </c>
      <c r="B150" s="135">
        <v>5485</v>
      </c>
      <c r="C150" s="150">
        <v>0</v>
      </c>
    </row>
    <row r="151" spans="1:3" x14ac:dyDescent="0.25">
      <c r="A151" s="229" t="s">
        <v>331</v>
      </c>
      <c r="B151" s="135">
        <v>5817</v>
      </c>
      <c r="C151" s="150">
        <v>0</v>
      </c>
    </row>
    <row r="152" spans="1:3" x14ac:dyDescent="0.25">
      <c r="A152" s="229" t="s">
        <v>194</v>
      </c>
      <c r="B152" s="135">
        <v>5560</v>
      </c>
      <c r="C152" s="150">
        <v>0</v>
      </c>
    </row>
    <row r="153" spans="1:3" x14ac:dyDescent="0.25">
      <c r="A153" s="229" t="s">
        <v>195</v>
      </c>
      <c r="B153" s="135">
        <v>5561</v>
      </c>
      <c r="C153" s="150">
        <v>407600</v>
      </c>
    </row>
    <row r="154" spans="1:3" x14ac:dyDescent="0.25">
      <c r="A154" s="229" t="s">
        <v>285</v>
      </c>
      <c r="B154" s="135">
        <v>5722</v>
      </c>
      <c r="C154" s="150">
        <v>0</v>
      </c>
    </row>
    <row r="155" spans="1:3" x14ac:dyDescent="0.25">
      <c r="A155" s="229" t="s">
        <v>108</v>
      </c>
      <c r="B155" s="135">
        <v>5405</v>
      </c>
      <c r="C155" s="150">
        <v>128800</v>
      </c>
    </row>
    <row r="156" spans="1:3" x14ac:dyDescent="0.25">
      <c r="A156" s="229" t="s">
        <v>248</v>
      </c>
      <c r="B156" s="135">
        <v>5656</v>
      </c>
      <c r="C156" s="150">
        <v>157000</v>
      </c>
    </row>
    <row r="157" spans="1:3" x14ac:dyDescent="0.25">
      <c r="A157" s="229" t="s">
        <v>332</v>
      </c>
      <c r="B157" s="135">
        <v>5819</v>
      </c>
      <c r="C157" s="150">
        <v>0</v>
      </c>
    </row>
    <row r="158" spans="1:3" x14ac:dyDescent="0.25">
      <c r="A158" s="229" t="s">
        <v>254</v>
      </c>
      <c r="B158" s="135">
        <v>5673</v>
      </c>
      <c r="C158" s="150">
        <v>3700</v>
      </c>
    </row>
    <row r="159" spans="1:3" x14ac:dyDescent="0.25">
      <c r="A159" s="229" t="s">
        <v>359</v>
      </c>
      <c r="B159" s="135">
        <v>5885</v>
      </c>
      <c r="C159" s="150">
        <v>0</v>
      </c>
    </row>
    <row r="160" spans="1:3" x14ac:dyDescent="0.25">
      <c r="A160" s="229" t="s">
        <v>325</v>
      </c>
      <c r="B160" s="135">
        <v>5804</v>
      </c>
      <c r="C160" s="150">
        <v>113200</v>
      </c>
    </row>
    <row r="161" spans="1:3" x14ac:dyDescent="0.25">
      <c r="A161" s="229" t="s">
        <v>327</v>
      </c>
      <c r="B161" s="135">
        <v>5806</v>
      </c>
      <c r="C161" s="150">
        <v>136700</v>
      </c>
    </row>
    <row r="162" spans="1:3" x14ac:dyDescent="0.25">
      <c r="A162" s="229" t="s">
        <v>206</v>
      </c>
      <c r="B162" s="135">
        <v>5585</v>
      </c>
      <c r="C162" s="150">
        <v>0</v>
      </c>
    </row>
    <row r="163" spans="1:3" x14ac:dyDescent="0.25">
      <c r="A163" s="229" t="s">
        <v>306</v>
      </c>
      <c r="B163" s="135">
        <v>5754</v>
      </c>
      <c r="C163" s="150">
        <v>0</v>
      </c>
    </row>
    <row r="164" spans="1:3" x14ac:dyDescent="0.25">
      <c r="A164" s="229" t="s">
        <v>139</v>
      </c>
      <c r="B164" s="135">
        <v>5474</v>
      </c>
      <c r="C164" s="150">
        <v>40700</v>
      </c>
    </row>
    <row r="165" spans="1:3" x14ac:dyDescent="0.25">
      <c r="A165" s="229" t="s">
        <v>310</v>
      </c>
      <c r="B165" s="135">
        <v>5758</v>
      </c>
      <c r="C165" s="150">
        <v>0</v>
      </c>
    </row>
    <row r="166" spans="1:3" x14ac:dyDescent="0.25">
      <c r="A166" s="229" t="s">
        <v>288</v>
      </c>
      <c r="B166" s="135">
        <v>5726</v>
      </c>
      <c r="C166" s="150">
        <v>0</v>
      </c>
    </row>
    <row r="167" spans="1:3" x14ac:dyDescent="0.25">
      <c r="A167" s="229" t="s">
        <v>161</v>
      </c>
      <c r="B167" s="135">
        <v>5498</v>
      </c>
      <c r="C167" s="150">
        <v>39500</v>
      </c>
    </row>
    <row r="168" spans="1:3" x14ac:dyDescent="0.25">
      <c r="A168" s="229" t="s">
        <v>361</v>
      </c>
      <c r="B168" s="135">
        <v>5889</v>
      </c>
      <c r="C168" s="150">
        <v>0</v>
      </c>
    </row>
    <row r="169" spans="1:3" x14ac:dyDescent="0.25">
      <c r="A169" s="229" t="s">
        <v>598</v>
      </c>
      <c r="B169" s="135">
        <v>5940</v>
      </c>
      <c r="C169" s="150">
        <v>349300</v>
      </c>
    </row>
    <row r="170" spans="1:3" x14ac:dyDescent="0.25">
      <c r="A170" s="229" t="s">
        <v>295</v>
      </c>
      <c r="B170" s="135">
        <v>5741</v>
      </c>
      <c r="C170" s="150">
        <v>15300</v>
      </c>
    </row>
    <row r="171" spans="1:3" x14ac:dyDescent="0.25">
      <c r="A171" s="229" t="s">
        <v>69</v>
      </c>
      <c r="B171" s="135">
        <v>5586</v>
      </c>
      <c r="C171" s="150">
        <v>0</v>
      </c>
    </row>
    <row r="172" spans="1:3" x14ac:dyDescent="0.25">
      <c r="A172" s="229" t="s">
        <v>109</v>
      </c>
      <c r="B172" s="135">
        <v>5406</v>
      </c>
      <c r="C172" s="150">
        <v>0</v>
      </c>
    </row>
    <row r="173" spans="1:3" x14ac:dyDescent="0.25">
      <c r="A173" s="229" t="s">
        <v>233</v>
      </c>
      <c r="B173" s="135">
        <v>5637</v>
      </c>
      <c r="C173" s="150">
        <v>400</v>
      </c>
    </row>
    <row r="174" spans="1:3" x14ac:dyDescent="0.25">
      <c r="A174" s="229" t="s">
        <v>70</v>
      </c>
      <c r="B174" s="135">
        <v>5587</v>
      </c>
      <c r="C174" s="150">
        <v>582300</v>
      </c>
    </row>
    <row r="175" spans="1:3" x14ac:dyDescent="0.25">
      <c r="A175" s="229" t="s">
        <v>293</v>
      </c>
      <c r="B175" s="135">
        <v>5731</v>
      </c>
      <c r="C175" s="150">
        <v>0</v>
      </c>
    </row>
    <row r="176" spans="1:3" x14ac:dyDescent="0.25">
      <c r="A176" s="229" t="s">
        <v>304</v>
      </c>
      <c r="B176" s="135">
        <v>5750</v>
      </c>
      <c r="C176" s="150">
        <v>0</v>
      </c>
    </row>
    <row r="177" spans="1:3" x14ac:dyDescent="0.25">
      <c r="A177" s="229" t="s">
        <v>110</v>
      </c>
      <c r="B177" s="135">
        <v>5407</v>
      </c>
      <c r="C177" s="150">
        <v>408800</v>
      </c>
    </row>
    <row r="178" spans="1:3" x14ac:dyDescent="0.25">
      <c r="A178" s="229" t="s">
        <v>307</v>
      </c>
      <c r="B178" s="135">
        <v>5755</v>
      </c>
      <c r="C178" s="150">
        <v>21900</v>
      </c>
    </row>
    <row r="179" spans="1:3" x14ac:dyDescent="0.25">
      <c r="A179" s="229" t="s">
        <v>150</v>
      </c>
      <c r="B179" s="135">
        <v>5486</v>
      </c>
      <c r="C179" s="150">
        <v>184600</v>
      </c>
    </row>
    <row r="180" spans="1:3" x14ac:dyDescent="0.25">
      <c r="A180" s="229" t="s">
        <v>234</v>
      </c>
      <c r="B180" s="135">
        <v>5638</v>
      </c>
      <c r="C180" s="150">
        <v>0</v>
      </c>
    </row>
    <row r="181" spans="1:3" x14ac:dyDescent="0.25">
      <c r="A181" s="229" t="s">
        <v>125</v>
      </c>
      <c r="B181" s="135">
        <v>5429</v>
      </c>
      <c r="C181" s="150">
        <v>0</v>
      </c>
    </row>
    <row r="182" spans="1:3" x14ac:dyDescent="0.25">
      <c r="A182" s="229" t="s">
        <v>255</v>
      </c>
      <c r="B182" s="135">
        <v>5674</v>
      </c>
      <c r="C182" s="150">
        <v>0</v>
      </c>
    </row>
    <row r="183" spans="1:3" x14ac:dyDescent="0.25">
      <c r="A183" s="229" t="s">
        <v>256</v>
      </c>
      <c r="B183" s="135">
        <v>5675</v>
      </c>
      <c r="C183" s="150">
        <v>0</v>
      </c>
    </row>
    <row r="184" spans="1:3" x14ac:dyDescent="0.25">
      <c r="A184" s="229" t="s">
        <v>347</v>
      </c>
      <c r="B184" s="135">
        <v>5858</v>
      </c>
      <c r="C184" s="150">
        <v>0</v>
      </c>
    </row>
    <row r="185" spans="1:3" x14ac:dyDescent="0.25">
      <c r="A185" s="229" t="s">
        <v>235</v>
      </c>
      <c r="B185" s="135">
        <v>5639</v>
      </c>
      <c r="C185" s="150">
        <v>0</v>
      </c>
    </row>
    <row r="186" spans="1:3" x14ac:dyDescent="0.25">
      <c r="A186" s="229" t="s">
        <v>151</v>
      </c>
      <c r="B186" s="135">
        <v>5487</v>
      </c>
      <c r="C186" s="150">
        <v>0</v>
      </c>
    </row>
    <row r="187" spans="1:3" x14ac:dyDescent="0.25">
      <c r="A187" s="229" t="s">
        <v>236</v>
      </c>
      <c r="B187" s="135">
        <v>5640</v>
      </c>
      <c r="C187" s="150">
        <v>0</v>
      </c>
    </row>
    <row r="188" spans="1:3" x14ac:dyDescent="0.25">
      <c r="A188" s="229" t="s">
        <v>214</v>
      </c>
      <c r="B188" s="135">
        <v>5606</v>
      </c>
      <c r="C188" s="150">
        <v>0</v>
      </c>
    </row>
    <row r="189" spans="1:3" x14ac:dyDescent="0.25">
      <c r="A189" s="229" t="s">
        <v>320</v>
      </c>
      <c r="B189" s="135">
        <v>5790</v>
      </c>
      <c r="C189" s="150">
        <v>1100</v>
      </c>
    </row>
    <row r="190" spans="1:3" x14ac:dyDescent="0.25">
      <c r="A190" s="229" t="s">
        <v>126</v>
      </c>
      <c r="B190" s="135">
        <v>5430</v>
      </c>
      <c r="C190" s="150">
        <v>0</v>
      </c>
    </row>
    <row r="191" spans="1:3" x14ac:dyDescent="0.25">
      <c r="A191" s="229" t="s">
        <v>597</v>
      </c>
      <c r="B191" s="135">
        <v>5941</v>
      </c>
      <c r="C191" s="150">
        <v>0</v>
      </c>
    </row>
    <row r="192" spans="1:3" x14ac:dyDescent="0.25">
      <c r="A192" s="229" t="s">
        <v>196</v>
      </c>
      <c r="B192" s="135">
        <v>5562</v>
      </c>
      <c r="C192" s="150">
        <v>0</v>
      </c>
    </row>
    <row r="193" spans="1:3" x14ac:dyDescent="0.25">
      <c r="A193" s="229" t="s">
        <v>152</v>
      </c>
      <c r="B193" s="135">
        <v>5488</v>
      </c>
      <c r="C193" s="150">
        <v>0</v>
      </c>
    </row>
    <row r="194" spans="1:3" x14ac:dyDescent="0.25">
      <c r="A194" s="229" t="s">
        <v>153</v>
      </c>
      <c r="B194" s="135">
        <v>5489</v>
      </c>
      <c r="C194" s="150">
        <v>0</v>
      </c>
    </row>
    <row r="195" spans="1:3" x14ac:dyDescent="0.25">
      <c r="A195" s="229" t="s">
        <v>286</v>
      </c>
      <c r="B195" s="135">
        <v>5723</v>
      </c>
      <c r="C195" s="150">
        <v>0</v>
      </c>
    </row>
    <row r="196" spans="1:3" x14ac:dyDescent="0.25">
      <c r="A196" s="229" t="s">
        <v>333</v>
      </c>
      <c r="B196" s="135">
        <v>5821</v>
      </c>
      <c r="C196" s="150">
        <v>0</v>
      </c>
    </row>
    <row r="197" spans="1:3" x14ac:dyDescent="0.25">
      <c r="A197" s="229" t="s">
        <v>154</v>
      </c>
      <c r="B197" s="135">
        <v>5490</v>
      </c>
      <c r="C197" s="150">
        <v>0</v>
      </c>
    </row>
    <row r="198" spans="1:3" x14ac:dyDescent="0.25">
      <c r="A198" s="229" t="s">
        <v>127</v>
      </c>
      <c r="B198" s="135">
        <v>5431</v>
      </c>
      <c r="C198" s="150">
        <v>0</v>
      </c>
    </row>
    <row r="199" spans="1:3" x14ac:dyDescent="0.25">
      <c r="A199" s="229" t="s">
        <v>378</v>
      </c>
      <c r="B199" s="135">
        <v>5921</v>
      </c>
      <c r="C199" s="150">
        <v>0</v>
      </c>
    </row>
    <row r="200" spans="1:3" x14ac:dyDescent="0.25">
      <c r="A200" s="229" t="s">
        <v>379</v>
      </c>
      <c r="B200" s="135">
        <v>5922</v>
      </c>
      <c r="C200" s="150">
        <v>0</v>
      </c>
    </row>
    <row r="201" spans="1:3" x14ac:dyDescent="0.25">
      <c r="A201" s="229" t="s">
        <v>264</v>
      </c>
      <c r="B201" s="135">
        <v>5693</v>
      </c>
      <c r="C201" s="150">
        <v>0</v>
      </c>
    </row>
    <row r="202" spans="1:3" x14ac:dyDescent="0.25">
      <c r="A202" s="229" t="s">
        <v>308</v>
      </c>
      <c r="B202" s="135">
        <v>5756</v>
      </c>
      <c r="C202" s="150">
        <v>0</v>
      </c>
    </row>
    <row r="203" spans="1:3" x14ac:dyDescent="0.25">
      <c r="A203" s="229" t="s">
        <v>184</v>
      </c>
      <c r="B203" s="135">
        <v>5540</v>
      </c>
      <c r="C203" s="150">
        <v>97100</v>
      </c>
    </row>
    <row r="204" spans="1:3" x14ac:dyDescent="0.25">
      <c r="A204" s="229" t="s">
        <v>155</v>
      </c>
      <c r="B204" s="135">
        <v>5491</v>
      </c>
      <c r="C204" s="150">
        <v>0</v>
      </c>
    </row>
    <row r="205" spans="1:3" x14ac:dyDescent="0.25">
      <c r="A205" s="229" t="s">
        <v>321</v>
      </c>
      <c r="B205" s="135">
        <v>5792</v>
      </c>
      <c r="C205" s="150">
        <v>64900</v>
      </c>
    </row>
    <row r="206" spans="1:3" x14ac:dyDescent="0.25">
      <c r="A206" s="229" t="s">
        <v>360</v>
      </c>
      <c r="B206" s="135">
        <v>5886</v>
      </c>
      <c r="C206" s="150">
        <v>0</v>
      </c>
    </row>
    <row r="207" spans="1:3" x14ac:dyDescent="0.25">
      <c r="A207" s="229" t="s">
        <v>156</v>
      </c>
      <c r="B207" s="135">
        <v>5492</v>
      </c>
      <c r="C207" s="150">
        <v>0</v>
      </c>
    </row>
    <row r="208" spans="1:3" x14ac:dyDescent="0.25">
      <c r="A208" s="229" t="s">
        <v>348</v>
      </c>
      <c r="B208" s="135">
        <v>5859</v>
      </c>
      <c r="C208" s="150">
        <v>0</v>
      </c>
    </row>
    <row r="209" spans="1:3" x14ac:dyDescent="0.25">
      <c r="A209" s="229" t="s">
        <v>67</v>
      </c>
      <c r="B209" s="135">
        <v>5642</v>
      </c>
      <c r="C209" s="150">
        <v>0</v>
      </c>
    </row>
    <row r="210" spans="1:3" x14ac:dyDescent="0.25">
      <c r="A210" s="229" t="s">
        <v>175</v>
      </c>
      <c r="B210" s="135">
        <v>5527</v>
      </c>
      <c r="C210" s="150">
        <v>0</v>
      </c>
    </row>
    <row r="211" spans="1:3" x14ac:dyDescent="0.25">
      <c r="A211" s="229" t="s">
        <v>257</v>
      </c>
      <c r="B211" s="135">
        <v>5678</v>
      </c>
      <c r="C211" s="150">
        <v>0</v>
      </c>
    </row>
    <row r="212" spans="1:3" x14ac:dyDescent="0.25">
      <c r="A212" s="229" t="s">
        <v>77</v>
      </c>
      <c r="B212" s="135">
        <v>5563</v>
      </c>
      <c r="C212" s="150">
        <v>0</v>
      </c>
    </row>
    <row r="213" spans="1:3" x14ac:dyDescent="0.25">
      <c r="A213" s="229" t="s">
        <v>197</v>
      </c>
      <c r="B213" s="135">
        <v>5564</v>
      </c>
      <c r="C213" s="150">
        <v>0</v>
      </c>
    </row>
    <row r="214" spans="1:3" x14ac:dyDescent="0.25">
      <c r="A214" s="229" t="s">
        <v>111</v>
      </c>
      <c r="B214" s="135">
        <v>5408</v>
      </c>
      <c r="C214" s="150">
        <v>24900</v>
      </c>
    </row>
    <row r="215" spans="1:3" x14ac:dyDescent="0.25">
      <c r="A215" s="229" t="s">
        <v>68</v>
      </c>
      <c r="B215" s="135">
        <v>5724</v>
      </c>
      <c r="C215" s="150">
        <v>0</v>
      </c>
    </row>
    <row r="216" spans="1:3" x14ac:dyDescent="0.25">
      <c r="A216" s="229" t="s">
        <v>258</v>
      </c>
      <c r="B216" s="135">
        <v>5680</v>
      </c>
      <c r="C216" s="150">
        <v>0</v>
      </c>
    </row>
    <row r="217" spans="1:3" x14ac:dyDescent="0.25">
      <c r="A217" s="229" t="s">
        <v>112</v>
      </c>
      <c r="B217" s="135">
        <v>5409</v>
      </c>
      <c r="C217" s="150">
        <v>0</v>
      </c>
    </row>
    <row r="218" spans="1:3" x14ac:dyDescent="0.25">
      <c r="A218" s="229" t="s">
        <v>198</v>
      </c>
      <c r="B218" s="135">
        <v>5565</v>
      </c>
      <c r="C218" s="150">
        <v>0</v>
      </c>
    </row>
    <row r="219" spans="1:3" x14ac:dyDescent="0.25">
      <c r="A219" s="229" t="s">
        <v>380</v>
      </c>
      <c r="B219" s="135">
        <v>5923</v>
      </c>
      <c r="C219" s="150">
        <v>14600</v>
      </c>
    </row>
    <row r="220" spans="1:3" x14ac:dyDescent="0.25">
      <c r="A220" s="229" t="s">
        <v>309</v>
      </c>
      <c r="B220" s="135">
        <v>5757</v>
      </c>
      <c r="C220" s="150">
        <v>1030500</v>
      </c>
    </row>
    <row r="221" spans="1:3" x14ac:dyDescent="0.25">
      <c r="A221" s="229" t="s">
        <v>381</v>
      </c>
      <c r="B221" s="135">
        <v>5924</v>
      </c>
      <c r="C221" s="150">
        <v>0</v>
      </c>
    </row>
    <row r="222" spans="1:3" x14ac:dyDescent="0.25">
      <c r="A222" s="229" t="s">
        <v>113</v>
      </c>
      <c r="B222" s="135">
        <v>5410</v>
      </c>
      <c r="C222" s="150">
        <v>0</v>
      </c>
    </row>
    <row r="223" spans="1:3" x14ac:dyDescent="0.25">
      <c r="A223" s="229" t="s">
        <v>114</v>
      </c>
      <c r="B223" s="135">
        <v>5411</v>
      </c>
      <c r="C223" s="150">
        <v>0</v>
      </c>
    </row>
    <row r="224" spans="1:3" x14ac:dyDescent="0.25">
      <c r="A224" s="229" t="s">
        <v>157</v>
      </c>
      <c r="B224" s="135">
        <v>5493</v>
      </c>
      <c r="C224" s="150">
        <v>0</v>
      </c>
    </row>
    <row r="225" spans="1:3" x14ac:dyDescent="0.25">
      <c r="A225" s="229" t="s">
        <v>326</v>
      </c>
      <c r="B225" s="135">
        <v>5805</v>
      </c>
      <c r="C225" s="150">
        <v>25500</v>
      </c>
    </row>
    <row r="226" spans="1:3" x14ac:dyDescent="0.25">
      <c r="A226" s="229" t="s">
        <v>382</v>
      </c>
      <c r="B226" s="135">
        <v>5925</v>
      </c>
      <c r="C226" s="150">
        <v>0</v>
      </c>
    </row>
    <row r="227" spans="1:3" x14ac:dyDescent="0.25">
      <c r="A227" s="229" t="s">
        <v>176</v>
      </c>
      <c r="B227" s="135">
        <v>5529</v>
      </c>
      <c r="C227" s="150">
        <v>0</v>
      </c>
    </row>
    <row r="228" spans="1:3" x14ac:dyDescent="0.25">
      <c r="A228" s="229" t="s">
        <v>177</v>
      </c>
      <c r="B228" s="135">
        <v>5530</v>
      </c>
      <c r="C228" s="150">
        <v>184300</v>
      </c>
    </row>
    <row r="229" spans="1:3" x14ac:dyDescent="0.25">
      <c r="A229" s="229" t="s">
        <v>207</v>
      </c>
      <c r="B229" s="135">
        <v>5588</v>
      </c>
      <c r="C229" s="150">
        <v>0</v>
      </c>
    </row>
    <row r="230" spans="1:3" x14ac:dyDescent="0.25">
      <c r="A230" s="229" t="s">
        <v>104</v>
      </c>
      <c r="B230" s="135">
        <v>5822</v>
      </c>
      <c r="C230" s="150">
        <v>0</v>
      </c>
    </row>
    <row r="231" spans="1:3" x14ac:dyDescent="0.25">
      <c r="A231" s="229" t="s">
        <v>158</v>
      </c>
      <c r="B231" s="135">
        <v>5495</v>
      </c>
      <c r="C231" s="150">
        <v>179200</v>
      </c>
    </row>
    <row r="232" spans="1:3" x14ac:dyDescent="0.25">
      <c r="A232" s="229" t="s">
        <v>159</v>
      </c>
      <c r="B232" s="135">
        <v>5496</v>
      </c>
      <c r="C232" s="150">
        <v>0</v>
      </c>
    </row>
    <row r="233" spans="1:3" x14ac:dyDescent="0.25">
      <c r="A233" s="229" t="s">
        <v>178</v>
      </c>
      <c r="B233" s="135">
        <v>5531</v>
      </c>
      <c r="C233" s="150">
        <v>0</v>
      </c>
    </row>
    <row r="234" spans="1:3" x14ac:dyDescent="0.25">
      <c r="A234" s="229" t="s">
        <v>349</v>
      </c>
      <c r="B234" s="135">
        <v>5860</v>
      </c>
      <c r="C234" s="150">
        <v>0</v>
      </c>
    </row>
    <row r="235" spans="1:3" x14ac:dyDescent="0.25">
      <c r="A235" s="229" t="s">
        <v>179</v>
      </c>
      <c r="B235" s="135">
        <v>5533</v>
      </c>
      <c r="C235" s="150">
        <v>0</v>
      </c>
    </row>
    <row r="236" spans="1:3" x14ac:dyDescent="0.25">
      <c r="A236" s="229" t="s">
        <v>160</v>
      </c>
      <c r="B236" s="135">
        <v>5497</v>
      </c>
      <c r="C236" s="150">
        <v>0</v>
      </c>
    </row>
    <row r="237" spans="1:3" x14ac:dyDescent="0.25">
      <c r="A237" s="229" t="s">
        <v>383</v>
      </c>
      <c r="B237" s="135">
        <v>5926</v>
      </c>
      <c r="C237" s="150">
        <v>0</v>
      </c>
    </row>
    <row r="238" spans="1:3" x14ac:dyDescent="0.25">
      <c r="A238" s="229" t="s">
        <v>287</v>
      </c>
      <c r="B238" s="135">
        <v>5725</v>
      </c>
      <c r="C238" s="150">
        <v>0</v>
      </c>
    </row>
    <row r="239" spans="1:3" x14ac:dyDescent="0.25">
      <c r="A239" s="229" t="s">
        <v>311</v>
      </c>
      <c r="B239" s="135">
        <v>5759</v>
      </c>
      <c r="C239" s="150">
        <v>0</v>
      </c>
    </row>
    <row r="240" spans="1:3" x14ac:dyDescent="0.25">
      <c r="A240" s="229" t="s">
        <v>237</v>
      </c>
      <c r="B240" s="135">
        <v>5643</v>
      </c>
      <c r="C240" s="150">
        <v>0</v>
      </c>
    </row>
    <row r="241" spans="1:3" x14ac:dyDescent="0.25">
      <c r="A241" s="229" t="s">
        <v>259</v>
      </c>
      <c r="B241" s="135">
        <v>5683</v>
      </c>
      <c r="C241" s="150">
        <v>0</v>
      </c>
    </row>
    <row r="242" spans="1:3" x14ac:dyDescent="0.25">
      <c r="A242" s="229" t="s">
        <v>208</v>
      </c>
      <c r="B242" s="135">
        <v>5589</v>
      </c>
      <c r="C242" s="150">
        <v>14300</v>
      </c>
    </row>
    <row r="243" spans="1:3" x14ac:dyDescent="0.25">
      <c r="A243" s="229" t="s">
        <v>199</v>
      </c>
      <c r="B243" s="135">
        <v>5566</v>
      </c>
      <c r="C243" s="150">
        <v>0</v>
      </c>
    </row>
    <row r="244" spans="1:3" x14ac:dyDescent="0.25">
      <c r="A244" s="229" t="s">
        <v>215</v>
      </c>
      <c r="B244" s="135">
        <v>5607</v>
      </c>
      <c r="C244" s="150">
        <v>262100</v>
      </c>
    </row>
    <row r="245" spans="1:3" x14ac:dyDescent="0.25">
      <c r="A245" s="229" t="s">
        <v>209</v>
      </c>
      <c r="B245" s="135">
        <v>5590</v>
      </c>
      <c r="C245" s="150">
        <v>0</v>
      </c>
    </row>
    <row r="246" spans="1:3" x14ac:dyDescent="0.25">
      <c r="A246" s="229" t="s">
        <v>312</v>
      </c>
      <c r="B246" s="135">
        <v>5760</v>
      </c>
      <c r="C246" s="150">
        <v>19400</v>
      </c>
    </row>
    <row r="247" spans="1:3" x14ac:dyDescent="0.25">
      <c r="A247" s="229" t="s">
        <v>210</v>
      </c>
      <c r="B247" s="135">
        <v>5591</v>
      </c>
      <c r="C247" s="150">
        <v>86300</v>
      </c>
    </row>
    <row r="248" spans="1:3" x14ac:dyDescent="0.25">
      <c r="A248" s="229" t="s">
        <v>115</v>
      </c>
      <c r="B248" s="135">
        <v>5412</v>
      </c>
      <c r="C248" s="150">
        <v>0</v>
      </c>
    </row>
    <row r="249" spans="1:3" x14ac:dyDescent="0.25">
      <c r="A249" s="229" t="s">
        <v>216</v>
      </c>
      <c r="B249" s="135">
        <v>5609</v>
      </c>
      <c r="C249" s="150">
        <v>0</v>
      </c>
    </row>
    <row r="250" spans="1:3" x14ac:dyDescent="0.25">
      <c r="A250" s="229" t="s">
        <v>116</v>
      </c>
      <c r="B250" s="135">
        <v>5413</v>
      </c>
      <c r="C250" s="150">
        <v>0</v>
      </c>
    </row>
    <row r="251" spans="1:3" x14ac:dyDescent="0.25">
      <c r="A251" s="229" t="s">
        <v>350</v>
      </c>
      <c r="B251" s="135">
        <v>5861</v>
      </c>
      <c r="C251" s="150">
        <v>0</v>
      </c>
    </row>
    <row r="252" spans="1:3" x14ac:dyDescent="0.25">
      <c r="A252" s="229" t="s">
        <v>313</v>
      </c>
      <c r="B252" s="135">
        <v>5761</v>
      </c>
      <c r="C252" s="150">
        <v>59400</v>
      </c>
    </row>
    <row r="253" spans="1:3" x14ac:dyDescent="0.25">
      <c r="A253" s="229" t="s">
        <v>211</v>
      </c>
      <c r="B253" s="135">
        <v>5592</v>
      </c>
      <c r="C253" s="150">
        <v>0</v>
      </c>
    </row>
    <row r="254" spans="1:3" x14ac:dyDescent="0.25">
      <c r="A254" s="229" t="s">
        <v>238</v>
      </c>
      <c r="B254" s="135">
        <v>5645</v>
      </c>
      <c r="C254" s="150">
        <v>0</v>
      </c>
    </row>
    <row r="255" spans="1:3" x14ac:dyDescent="0.25">
      <c r="A255" s="229" t="s">
        <v>322</v>
      </c>
      <c r="B255" s="135">
        <v>5798</v>
      </c>
      <c r="C255" s="150">
        <v>0</v>
      </c>
    </row>
    <row r="256" spans="1:3" x14ac:dyDescent="0.25">
      <c r="A256" s="229" t="s">
        <v>260</v>
      </c>
      <c r="B256" s="135">
        <v>5684</v>
      </c>
      <c r="C256" s="150">
        <v>0</v>
      </c>
    </row>
    <row r="257" spans="1:3" x14ac:dyDescent="0.25">
      <c r="A257" s="229" t="s">
        <v>338</v>
      </c>
      <c r="B257" s="135">
        <v>5842</v>
      </c>
      <c r="C257" s="150">
        <v>0</v>
      </c>
    </row>
    <row r="258" spans="1:3" x14ac:dyDescent="0.25">
      <c r="A258" s="229" t="s">
        <v>339</v>
      </c>
      <c r="B258" s="135">
        <v>5843</v>
      </c>
      <c r="C258" s="150">
        <v>0</v>
      </c>
    </row>
    <row r="259" spans="1:3" x14ac:dyDescent="0.25">
      <c r="A259" s="229" t="s">
        <v>384</v>
      </c>
      <c r="B259" s="135">
        <v>5928</v>
      </c>
      <c r="C259" s="150">
        <v>0</v>
      </c>
    </row>
    <row r="260" spans="1:3" x14ac:dyDescent="0.25">
      <c r="A260" s="229" t="s">
        <v>180</v>
      </c>
      <c r="B260" s="135">
        <v>5534</v>
      </c>
      <c r="C260" s="150">
        <v>0</v>
      </c>
    </row>
    <row r="261" spans="1:3" x14ac:dyDescent="0.25">
      <c r="A261" s="229" t="s">
        <v>181</v>
      </c>
      <c r="B261" s="135">
        <v>5535</v>
      </c>
      <c r="C261" s="150">
        <v>0</v>
      </c>
    </row>
    <row r="262" spans="1:3" x14ac:dyDescent="0.25">
      <c r="A262" s="229" t="s">
        <v>289</v>
      </c>
      <c r="B262" s="135">
        <v>5727</v>
      </c>
      <c r="C262" s="150">
        <v>0</v>
      </c>
    </row>
    <row r="263" spans="1:3" x14ac:dyDescent="0.25">
      <c r="A263" s="229" t="s">
        <v>200</v>
      </c>
      <c r="B263" s="135">
        <v>5568</v>
      </c>
      <c r="C263" s="150">
        <v>0</v>
      </c>
    </row>
    <row r="264" spans="1:3" x14ac:dyDescent="0.25">
      <c r="A264" s="229" t="s">
        <v>128</v>
      </c>
      <c r="B264" s="135">
        <v>5434</v>
      </c>
      <c r="C264" s="150">
        <v>0</v>
      </c>
    </row>
    <row r="265" spans="1:3" x14ac:dyDescent="0.25">
      <c r="A265" s="229" t="s">
        <v>129</v>
      </c>
      <c r="B265" s="135">
        <v>5435</v>
      </c>
      <c r="C265" s="150">
        <v>0</v>
      </c>
    </row>
    <row r="266" spans="1:3" x14ac:dyDescent="0.25">
      <c r="A266" s="229" t="s">
        <v>239</v>
      </c>
      <c r="B266" s="135">
        <v>5646</v>
      </c>
      <c r="C266" s="150">
        <v>0</v>
      </c>
    </row>
    <row r="267" spans="1:3" x14ac:dyDescent="0.25">
      <c r="A267" s="229" t="s">
        <v>240</v>
      </c>
      <c r="B267" s="135">
        <v>5648</v>
      </c>
      <c r="C267" s="150">
        <v>0</v>
      </c>
    </row>
    <row r="268" spans="1:3" x14ac:dyDescent="0.25">
      <c r="A268" s="229" t="s">
        <v>218</v>
      </c>
      <c r="B268" s="135">
        <v>5611</v>
      </c>
      <c r="C268" s="150">
        <v>0</v>
      </c>
    </row>
    <row r="269" spans="1:3" x14ac:dyDescent="0.25">
      <c r="A269" s="229" t="s">
        <v>162</v>
      </c>
      <c r="B269" s="135">
        <v>5499</v>
      </c>
      <c r="C269" s="150">
        <v>0</v>
      </c>
    </row>
    <row r="270" spans="1:3" x14ac:dyDescent="0.25">
      <c r="A270" s="229" t="s">
        <v>314</v>
      </c>
      <c r="B270" s="135">
        <v>5762</v>
      </c>
      <c r="C270" s="150">
        <v>9200</v>
      </c>
    </row>
    <row r="271" spans="1:3" x14ac:dyDescent="0.25">
      <c r="A271" s="229" t="s">
        <v>323</v>
      </c>
      <c r="B271" s="135">
        <v>5799</v>
      </c>
      <c r="C271" s="150">
        <v>0</v>
      </c>
    </row>
    <row r="272" spans="1:3" x14ac:dyDescent="0.25">
      <c r="A272" s="229" t="s">
        <v>290</v>
      </c>
      <c r="B272" s="135">
        <v>5728</v>
      </c>
      <c r="C272" s="150">
        <v>0</v>
      </c>
    </row>
    <row r="273" spans="1:3" x14ac:dyDescent="0.25">
      <c r="A273" s="229" t="s">
        <v>217</v>
      </c>
      <c r="B273" s="135">
        <v>5610</v>
      </c>
      <c r="C273" s="150">
        <v>5300</v>
      </c>
    </row>
    <row r="274" spans="1:3" x14ac:dyDescent="0.25">
      <c r="A274" s="229" t="s">
        <v>385</v>
      </c>
      <c r="B274" s="135">
        <v>5929</v>
      </c>
      <c r="C274" s="150">
        <v>0</v>
      </c>
    </row>
    <row r="275" spans="1:3" x14ac:dyDescent="0.25">
      <c r="A275" s="229" t="s">
        <v>163</v>
      </c>
      <c r="B275" s="135">
        <v>5501</v>
      </c>
      <c r="C275" s="150">
        <v>0</v>
      </c>
    </row>
    <row r="276" spans="1:3" x14ac:dyDescent="0.25">
      <c r="A276" s="229" t="s">
        <v>261</v>
      </c>
      <c r="B276" s="135">
        <v>5688</v>
      </c>
      <c r="C276" s="150">
        <v>0</v>
      </c>
    </row>
    <row r="277" spans="1:3" x14ac:dyDescent="0.25">
      <c r="A277" s="229" t="s">
        <v>291</v>
      </c>
      <c r="B277" s="135">
        <v>5729</v>
      </c>
      <c r="C277" s="150">
        <v>0</v>
      </c>
    </row>
    <row r="278" spans="1:3" x14ac:dyDescent="0.25">
      <c r="A278" s="229" t="s">
        <v>351</v>
      </c>
      <c r="B278" s="135">
        <v>5862</v>
      </c>
      <c r="C278" s="150">
        <v>0</v>
      </c>
    </row>
    <row r="279" spans="1:3" x14ac:dyDescent="0.25">
      <c r="A279" s="229" t="s">
        <v>201</v>
      </c>
      <c r="B279" s="135">
        <v>5571</v>
      </c>
      <c r="C279" s="150">
        <v>0</v>
      </c>
    </row>
    <row r="280" spans="1:3" x14ac:dyDescent="0.25">
      <c r="A280" s="229" t="s">
        <v>241</v>
      </c>
      <c r="B280" s="135">
        <v>5649</v>
      </c>
      <c r="C280" s="150">
        <v>0</v>
      </c>
    </row>
    <row r="281" spans="1:3" x14ac:dyDescent="0.25">
      <c r="A281" s="229" t="s">
        <v>292</v>
      </c>
      <c r="B281" s="135">
        <v>5730</v>
      </c>
      <c r="C281" s="150">
        <v>14300</v>
      </c>
    </row>
    <row r="282" spans="1:3" x14ac:dyDescent="0.25">
      <c r="A282" s="229" t="s">
        <v>334</v>
      </c>
      <c r="B282" s="135">
        <v>5827</v>
      </c>
      <c r="C282" s="150">
        <v>13300</v>
      </c>
    </row>
    <row r="283" spans="1:3" x14ac:dyDescent="0.25">
      <c r="A283" s="229" t="s">
        <v>387</v>
      </c>
      <c r="B283" s="135">
        <v>5931</v>
      </c>
      <c r="C283" s="150">
        <v>0</v>
      </c>
    </row>
    <row r="284" spans="1:3" x14ac:dyDescent="0.25">
      <c r="A284" s="229" t="s">
        <v>335</v>
      </c>
      <c r="B284" s="135">
        <v>5828</v>
      </c>
      <c r="C284" s="150">
        <v>10100</v>
      </c>
    </row>
    <row r="285" spans="1:3" x14ac:dyDescent="0.25">
      <c r="A285" s="229" t="s">
        <v>102</v>
      </c>
      <c r="B285" s="135">
        <v>5932</v>
      </c>
      <c r="C285" s="150">
        <v>0</v>
      </c>
    </row>
    <row r="286" spans="1:3" x14ac:dyDescent="0.25">
      <c r="A286" s="229" t="s">
        <v>337</v>
      </c>
      <c r="B286" s="135">
        <v>5831</v>
      </c>
      <c r="C286" s="150">
        <v>354600</v>
      </c>
    </row>
    <row r="287" spans="1:3" x14ac:dyDescent="0.25">
      <c r="A287" s="229" t="s">
        <v>388</v>
      </c>
      <c r="B287" s="135">
        <v>5933</v>
      </c>
      <c r="C287" s="150">
        <v>102900</v>
      </c>
    </row>
    <row r="288" spans="1:3" x14ac:dyDescent="0.25">
      <c r="A288" s="229" t="s">
        <v>315</v>
      </c>
      <c r="B288" s="135">
        <v>5763</v>
      </c>
      <c r="C288" s="150">
        <v>0</v>
      </c>
    </row>
    <row r="289" spans="1:3" x14ac:dyDescent="0.25">
      <c r="A289" s="229" t="s">
        <v>389</v>
      </c>
      <c r="B289" s="135">
        <v>5934</v>
      </c>
      <c r="C289" s="150">
        <v>0</v>
      </c>
    </row>
    <row r="290" spans="1:3" x14ac:dyDescent="0.25">
      <c r="A290" s="229" t="s">
        <v>316</v>
      </c>
      <c r="B290" s="135">
        <v>5764</v>
      </c>
      <c r="C290" s="150">
        <v>347600</v>
      </c>
    </row>
    <row r="291" spans="1:3" x14ac:dyDescent="0.25">
      <c r="A291" s="229" t="s">
        <v>317</v>
      </c>
      <c r="B291" s="135">
        <v>5765</v>
      </c>
      <c r="C291" s="150">
        <v>0</v>
      </c>
    </row>
    <row r="292" spans="1:3" x14ac:dyDescent="0.25">
      <c r="A292" s="229" t="s">
        <v>242</v>
      </c>
      <c r="B292" s="135">
        <v>5650</v>
      </c>
      <c r="C292" s="150">
        <v>172200</v>
      </c>
    </row>
    <row r="293" spans="1:3" x14ac:dyDescent="0.25">
      <c r="A293" s="229" t="s">
        <v>362</v>
      </c>
      <c r="B293" s="135">
        <v>5890</v>
      </c>
      <c r="C293" s="150">
        <v>0</v>
      </c>
    </row>
    <row r="294" spans="1:3" x14ac:dyDescent="0.25">
      <c r="A294" s="229" t="s">
        <v>363</v>
      </c>
      <c r="B294" s="135">
        <v>5891</v>
      </c>
      <c r="C294" s="150">
        <v>254100</v>
      </c>
    </row>
    <row r="295" spans="1:3" x14ac:dyDescent="0.25">
      <c r="A295" s="229" t="s">
        <v>294</v>
      </c>
      <c r="B295" s="135">
        <v>5732</v>
      </c>
      <c r="C295" s="150">
        <v>0</v>
      </c>
    </row>
    <row r="296" spans="1:3" x14ac:dyDescent="0.25">
      <c r="A296" s="229" t="s">
        <v>390</v>
      </c>
      <c r="B296" s="135">
        <v>5935</v>
      </c>
      <c r="C296" s="150">
        <v>0</v>
      </c>
    </row>
    <row r="297" spans="1:3" x14ac:dyDescent="0.25">
      <c r="A297" s="229" t="s">
        <v>262</v>
      </c>
      <c r="B297" s="135">
        <v>5690</v>
      </c>
      <c r="C297" s="150">
        <v>0</v>
      </c>
    </row>
    <row r="298" spans="1:3" x14ac:dyDescent="0.25">
      <c r="A298" s="229" t="s">
        <v>182</v>
      </c>
      <c r="B298" s="135">
        <v>5537</v>
      </c>
      <c r="C298" s="150">
        <v>0</v>
      </c>
    </row>
    <row r="299" spans="1:3" x14ac:dyDescent="0.25">
      <c r="A299" s="229" t="s">
        <v>243</v>
      </c>
      <c r="B299" s="135">
        <v>5651</v>
      </c>
      <c r="C299" s="150">
        <v>0</v>
      </c>
    </row>
    <row r="300" spans="1:3" x14ac:dyDescent="0.25">
      <c r="A300" s="229" t="s">
        <v>244</v>
      </c>
      <c r="B300" s="135">
        <v>5652</v>
      </c>
      <c r="C300" s="150">
        <v>0</v>
      </c>
    </row>
    <row r="301" spans="1:3" x14ac:dyDescent="0.25">
      <c r="A301" s="229" t="s">
        <v>336</v>
      </c>
      <c r="B301" s="135">
        <v>5830</v>
      </c>
      <c r="C301" s="150">
        <v>7700</v>
      </c>
    </row>
    <row r="302" spans="1:3" x14ac:dyDescent="0.25">
      <c r="A302" s="229" t="s">
        <v>117</v>
      </c>
      <c r="B302" s="135">
        <v>5414</v>
      </c>
      <c r="C302" s="150">
        <v>465800</v>
      </c>
    </row>
    <row r="303" spans="1:3" x14ac:dyDescent="0.25">
      <c r="A303" s="229" t="s">
        <v>352</v>
      </c>
      <c r="B303" s="135">
        <v>5863</v>
      </c>
      <c r="C303" s="150">
        <v>0</v>
      </c>
    </row>
    <row r="304" spans="1:3" x14ac:dyDescent="0.25">
      <c r="A304" s="229" t="s">
        <v>183</v>
      </c>
      <c r="B304" s="135">
        <v>5539</v>
      </c>
      <c r="C304" s="150">
        <v>0</v>
      </c>
    </row>
    <row r="305" spans="1:3" x14ac:dyDescent="0.25">
      <c r="A305" s="229" t="s">
        <v>263</v>
      </c>
      <c r="B305" s="135">
        <v>5692</v>
      </c>
      <c r="C305" s="150">
        <v>0</v>
      </c>
    </row>
    <row r="306" spans="1:3" x14ac:dyDescent="0.25">
      <c r="A306" s="229" t="s">
        <v>164</v>
      </c>
      <c r="B306" s="135">
        <v>5503</v>
      </c>
      <c r="C306" s="150">
        <v>0</v>
      </c>
    </row>
    <row r="307" spans="1:3" x14ac:dyDescent="0.25">
      <c r="A307" s="229" t="s">
        <v>245</v>
      </c>
      <c r="B307" s="135">
        <v>5653</v>
      </c>
      <c r="C307" s="150">
        <v>0</v>
      </c>
    </row>
    <row r="308" spans="1:3" x14ac:dyDescent="0.25">
      <c r="A308" s="229" t="s">
        <v>391</v>
      </c>
      <c r="B308" s="135">
        <v>5937</v>
      </c>
      <c r="C308" s="150">
        <v>0</v>
      </c>
    </row>
    <row r="309" spans="1:3" x14ac:dyDescent="0.25">
      <c r="A309" s="229" t="s">
        <v>318</v>
      </c>
      <c r="B309" s="135">
        <v>5766</v>
      </c>
      <c r="C309" s="150">
        <v>48600</v>
      </c>
    </row>
    <row r="310" spans="1:3" x14ac:dyDescent="0.25">
      <c r="A310" s="229" t="s">
        <v>324</v>
      </c>
      <c r="B310" s="135">
        <v>5803</v>
      </c>
      <c r="C310" s="150">
        <v>0</v>
      </c>
    </row>
    <row r="311" spans="1:3" x14ac:dyDescent="0.25">
      <c r="A311" s="229" t="s">
        <v>246</v>
      </c>
      <c r="B311" s="135">
        <v>5654</v>
      </c>
      <c r="C311" s="150">
        <v>0</v>
      </c>
    </row>
    <row r="312" spans="1:3" x14ac:dyDescent="0.25">
      <c r="A312" s="229" t="s">
        <v>135</v>
      </c>
      <c r="B312" s="135">
        <v>5464</v>
      </c>
      <c r="C312" s="150">
        <v>0</v>
      </c>
    </row>
    <row r="313" spans="1:3" x14ac:dyDescent="0.25">
      <c r="A313" s="229" t="s">
        <v>247</v>
      </c>
      <c r="B313" s="135">
        <v>5655</v>
      </c>
      <c r="C313" s="150">
        <v>0</v>
      </c>
    </row>
    <row r="314" spans="1:3" x14ac:dyDescent="0.25">
      <c r="A314" s="229" t="s">
        <v>103</v>
      </c>
      <c r="B314" s="135">
        <v>5938</v>
      </c>
      <c r="C314" s="150">
        <v>0</v>
      </c>
    </row>
    <row r="315" spans="1:3" x14ac:dyDescent="0.25">
      <c r="A315" s="229" t="s">
        <v>392</v>
      </c>
      <c r="B315" s="135">
        <v>5939</v>
      </c>
      <c r="C315" s="150">
        <v>0</v>
      </c>
    </row>
    <row r="316" spans="1:3" x14ac:dyDescent="0.25">
      <c r="A316" s="229" t="s">
        <v>118</v>
      </c>
      <c r="B316" s="135">
        <v>5415</v>
      </c>
      <c r="C316" s="150">
        <v>121100</v>
      </c>
    </row>
  </sheetData>
  <sheetProtection sheet="1" objects="1" scenarios="1"/>
  <sortState xmlns:xlrd2="http://schemas.microsoft.com/office/spreadsheetml/2017/richdata2" ref="A23:C316">
    <sortCondition ref="A23:A316"/>
  </sortState>
  <mergeCells count="68">
    <mergeCell ref="N20:U20"/>
    <mergeCell ref="E13:F13"/>
    <mergeCell ref="E8:F8"/>
    <mergeCell ref="N13:N14"/>
    <mergeCell ref="O13:O14"/>
    <mergeCell ref="P13:P14"/>
    <mergeCell ref="Q13:Q14"/>
    <mergeCell ref="E10:G10"/>
    <mergeCell ref="E11:F11"/>
    <mergeCell ref="E12:F12"/>
    <mergeCell ref="N19:U19"/>
    <mergeCell ref="R13:R14"/>
    <mergeCell ref="A4:C4"/>
    <mergeCell ref="I4:K4"/>
    <mergeCell ref="I5:J5"/>
    <mergeCell ref="A5:B5"/>
    <mergeCell ref="A12:B12"/>
    <mergeCell ref="A11:B11"/>
    <mergeCell ref="I9:J9"/>
    <mergeCell ref="I12:J12"/>
    <mergeCell ref="I11:J11"/>
    <mergeCell ref="I10:J10"/>
    <mergeCell ref="A9:B10"/>
    <mergeCell ref="C9:C10"/>
    <mergeCell ref="E4:G4"/>
    <mergeCell ref="E5:F5"/>
    <mergeCell ref="E6:F6"/>
    <mergeCell ref="E7:F7"/>
    <mergeCell ref="A6:B6"/>
    <mergeCell ref="I6:J6"/>
    <mergeCell ref="N17:U17"/>
    <mergeCell ref="A7:B8"/>
    <mergeCell ref="C7:C8"/>
    <mergeCell ref="I14:J14"/>
    <mergeCell ref="I13:J13"/>
    <mergeCell ref="S13:S14"/>
    <mergeCell ref="T13:T14"/>
    <mergeCell ref="U13:U14"/>
    <mergeCell ref="A20:B20"/>
    <mergeCell ref="E16:G16"/>
    <mergeCell ref="M13:M14"/>
    <mergeCell ref="E17:F17"/>
    <mergeCell ref="A16:B16"/>
    <mergeCell ref="A17:B17"/>
    <mergeCell ref="A18:B18"/>
    <mergeCell ref="I17:J17"/>
    <mergeCell ref="I16:J16"/>
    <mergeCell ref="I20:J20"/>
    <mergeCell ref="A15:B15"/>
    <mergeCell ref="I18:J18"/>
    <mergeCell ref="A14:C14"/>
    <mergeCell ref="E20:F20"/>
    <mergeCell ref="E19:F19"/>
    <mergeCell ref="A19:B19"/>
    <mergeCell ref="D1:E1"/>
    <mergeCell ref="N16:U16"/>
    <mergeCell ref="N18:U18"/>
    <mergeCell ref="P12:Q12"/>
    <mergeCell ref="M7:U7"/>
    <mergeCell ref="M8:U8"/>
    <mergeCell ref="I8:K8"/>
    <mergeCell ref="P11:Q11"/>
    <mergeCell ref="I1:J1"/>
    <mergeCell ref="E18:F18"/>
    <mergeCell ref="S4:U4"/>
    <mergeCell ref="P6:Q6"/>
    <mergeCell ref="S5:T5"/>
    <mergeCell ref="E14:F14"/>
  </mergeCells>
  <conditionalFormatting sqref="K17">
    <cfRule type="cellIs" dxfId="51" priority="1" operator="greaterThan">
      <formula>55000000</formula>
    </cfRule>
  </conditionalFormatting>
  <conditionalFormatting sqref="Q5">
    <cfRule type="cellIs" dxfId="50" priority="2" operator="lessThan">
      <formula>0</formula>
    </cfRule>
  </conditionalFormatting>
  <dataValidations count="1">
    <dataValidation type="list" allowBlank="1" showInputMessage="1" showErrorMessage="1" sqref="M5" xr:uid="{A889782E-750A-4C2F-9F93-76E5BEF0A567}">
      <formula1>"Décompte prévisionnel, Décompte final, Projet de décompte final"</formula1>
    </dataValidation>
  </dataValidations>
  <hyperlinks>
    <hyperlink ref="B1:C1" location="'Table des matières'!A1" display="← Précédent" xr:uid="{CAA68179-46C2-414B-9512-D6C8A566612C}"/>
    <hyperlink ref="D1" location="Données!A1" display="Suivant →" xr:uid="{C21F6F24-AB0C-431A-9E15-4C3AE52DDA9D}"/>
    <hyperlink ref="C1" location="'Table des matières'!A1" display="Table des matières" xr:uid="{F29EAEE0-8AF5-4C05-8326-668EAA3E38DD}"/>
    <hyperlink ref="N16:U16" r:id="rId1" display="Loi du 4 juin 2024 sur la péréquation intercommunale - sous délai référendaire" xr:uid="{982AB7E2-7531-490B-A7A4-484E794ECA70}"/>
    <hyperlink ref="N18:U18" r:id="rId2" display="Loi du 24 novembre 2003 sur l'organisation et le financement de la politique sociale" xr:uid="{E0430090-D32C-47C4-AE4E-24EBEEA1F029}"/>
    <hyperlink ref="N19:U19" r:id="rId3" display="Loi du 13 septembre 2011 sur l'organisation policière vaudoise" xr:uid="{24C9BC6C-3766-4E34-A772-36E3E7478091}"/>
    <hyperlink ref="N20:U20" r:id="rId4" display="Décret du 4 juin 2024 octroyant une compensation transitoire aux communes désavantagées par le nouveau système" xr:uid="{29DB9C29-8475-409B-8F0D-DD62C995D2B8}"/>
    <hyperlink ref="N17:U17" r:id="rId5" display="Règlement du 15 janvier 2025 d'application de la loi sur la péréquation intercommunale" xr:uid="{494E71CE-2EFC-4952-A2C1-E48EA682A8E1}"/>
  </hyperlinks>
  <printOptions horizontalCentered="1" verticalCentered="1"/>
  <pageMargins left="0.7" right="0.7" top="0.75" bottom="0.75" header="0.3" footer="0.3"/>
  <pageSetup paperSize="9" orientation="landscape"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03625-2020-4619-9BB8-58AA41C21EDC}">
  <sheetPr>
    <tabColor theme="0" tint="-4.9989318521683403E-2"/>
    <pageSetUpPr fitToPage="1"/>
  </sheetPr>
  <dimension ref="A1:AE302"/>
  <sheetViews>
    <sheetView zoomScale="90" zoomScaleNormal="90" workbookViewId="0">
      <pane xSplit="2" ySplit="7" topLeftCell="C8" activePane="bottomRight" state="frozen"/>
      <selection pane="topRight" activeCell="C1" sqref="C1"/>
      <selection pane="bottomLeft" activeCell="A8" sqref="A8"/>
      <selection pane="bottomRight"/>
    </sheetView>
  </sheetViews>
  <sheetFormatPr baseColWidth="10" defaultRowHeight="15" x14ac:dyDescent="0.25"/>
  <cols>
    <col min="1" max="1" width="7" style="1" customWidth="1"/>
    <col min="2" max="2" width="24.7109375" style="1" bestFit="1" customWidth="1"/>
    <col min="3" max="3" width="11.7109375" style="1" bestFit="1" customWidth="1"/>
    <col min="4" max="4" width="8.7109375" style="1" customWidth="1"/>
    <col min="5" max="5" width="7.42578125" style="1" bestFit="1" customWidth="1"/>
    <col min="6" max="6" width="14.85546875" style="1" bestFit="1" customWidth="1"/>
    <col min="7" max="8" width="13.28515625" style="1" bestFit="1" customWidth="1"/>
    <col min="9" max="10" width="12.140625" style="1" bestFit="1" customWidth="1"/>
    <col min="11" max="11" width="16.28515625" style="1" customWidth="1"/>
    <col min="12" max="12" width="12.85546875" style="1" bestFit="1" customWidth="1"/>
    <col min="13" max="13" width="11.140625" style="1" bestFit="1" customWidth="1"/>
    <col min="14" max="14" width="12.140625" style="1" customWidth="1"/>
    <col min="15" max="15" width="13.28515625" style="1" bestFit="1" customWidth="1"/>
    <col min="16" max="17" width="12.140625" style="1" bestFit="1" customWidth="1"/>
    <col min="18" max="18" width="12.85546875" style="1" bestFit="1" customWidth="1"/>
    <col min="19" max="20" width="13.28515625" style="1" bestFit="1" customWidth="1"/>
    <col min="21" max="21" width="12.140625" style="1" bestFit="1" customWidth="1"/>
    <col min="22" max="22" width="13.28515625" style="1" bestFit="1" customWidth="1"/>
    <col min="23" max="23" width="14.85546875" style="1" bestFit="1" customWidth="1"/>
    <col min="24" max="24" width="11.5703125" style="1" bestFit="1" customWidth="1"/>
    <col min="25" max="25" width="10.85546875" style="1" bestFit="1" customWidth="1"/>
    <col min="26" max="26" width="11.5703125" style="1" bestFit="1" customWidth="1"/>
    <col min="27" max="28" width="9" style="1" bestFit="1" customWidth="1"/>
    <col min="29" max="29" width="14.85546875" style="1" bestFit="1" customWidth="1"/>
    <col min="30" max="30" width="14.7109375" style="1" customWidth="1"/>
    <col min="31" max="31" width="7.7109375" style="1" customWidth="1"/>
    <col min="32" max="16384" width="11.42578125" style="1"/>
  </cols>
  <sheetData>
    <row r="1" spans="1:31" s="4" customFormat="1" ht="27" customHeight="1" x14ac:dyDescent="0.25">
      <c r="A1" s="8" t="s">
        <v>468</v>
      </c>
      <c r="C1" s="95" t="s">
        <v>441</v>
      </c>
      <c r="D1" s="495" t="s">
        <v>578</v>
      </c>
      <c r="E1" s="495"/>
      <c r="F1" s="96" t="s">
        <v>443</v>
      </c>
      <c r="G1" s="489" t="s">
        <v>599</v>
      </c>
      <c r="H1" s="489"/>
    </row>
    <row r="2" spans="1:31" ht="15" customHeight="1" x14ac:dyDescent="0.25">
      <c r="A2" s="47" t="str">
        <f>_xlfn.CONCAT(Paramètres!M5," ",Paramètres!N5)</f>
        <v>Décompte prévisionnel 2027</v>
      </c>
      <c r="E2" s="16"/>
      <c r="G2" s="490" t="s">
        <v>600</v>
      </c>
      <c r="H2" s="490"/>
      <c r="N2" s="57"/>
      <c r="R2" s="58"/>
      <c r="S2" s="57"/>
      <c r="T2" s="57"/>
      <c r="U2" s="57"/>
      <c r="V2" s="57"/>
      <c r="W2" s="57"/>
    </row>
    <row r="3" spans="1:31" ht="15" customHeight="1" x14ac:dyDescent="0.25">
      <c r="G3" s="2"/>
      <c r="H3" s="2"/>
      <c r="N3" s="57"/>
      <c r="R3" s="58"/>
      <c r="S3" s="57"/>
      <c r="T3" s="57"/>
      <c r="U3" s="57"/>
      <c r="V3" s="57"/>
      <c r="W3" s="57"/>
    </row>
    <row r="4" spans="1:31" x14ac:dyDescent="0.25">
      <c r="H4" s="16"/>
      <c r="I4" s="16"/>
      <c r="N4" s="17"/>
      <c r="R4" s="58"/>
    </row>
    <row r="5" spans="1:31" ht="15" customHeight="1" x14ac:dyDescent="0.25">
      <c r="A5" s="59"/>
      <c r="C5" s="228"/>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row>
    <row r="6" spans="1:31" x14ac:dyDescent="0.25">
      <c r="A6" s="491" t="s">
        <v>0</v>
      </c>
      <c r="B6" s="491" t="s">
        <v>1</v>
      </c>
      <c r="C6" s="112" t="str">
        <f>_xlfn.CONCAT("31.12.",Paramètres!O5)</f>
        <v>31.12.2025</v>
      </c>
      <c r="D6" s="113">
        <f>Paramètres!$O$5</f>
        <v>2025</v>
      </c>
      <c r="E6" s="113">
        <f>Paramètres!$O$5</f>
        <v>2025</v>
      </c>
      <c r="F6" s="113">
        <f>Paramètres!$O$5</f>
        <v>2025</v>
      </c>
      <c r="G6" s="113">
        <f>Paramètres!$O$5</f>
        <v>2025</v>
      </c>
      <c r="H6" s="113">
        <f>Paramètres!$O$5</f>
        <v>2025</v>
      </c>
      <c r="I6" s="113">
        <f>Paramètres!$O$5</f>
        <v>2025</v>
      </c>
      <c r="J6" s="113">
        <f>Paramètres!$O$5</f>
        <v>2025</v>
      </c>
      <c r="K6" s="113">
        <f>Paramètres!$O$5</f>
        <v>2025</v>
      </c>
      <c r="L6" s="113">
        <f>Paramètres!$O$5</f>
        <v>2025</v>
      </c>
      <c r="M6" s="113">
        <f>Paramètres!$O$5</f>
        <v>2025</v>
      </c>
      <c r="N6" s="113">
        <f>Paramètres!$O$5</f>
        <v>2025</v>
      </c>
      <c r="O6" s="113">
        <f>Paramètres!$O$5</f>
        <v>2025</v>
      </c>
      <c r="P6" s="113">
        <f>Paramètres!$O$5</f>
        <v>2025</v>
      </c>
      <c r="Q6" s="113">
        <f>Paramètres!$O$5</f>
        <v>2025</v>
      </c>
      <c r="R6" s="113">
        <f>Paramètres!$O$5</f>
        <v>2025</v>
      </c>
      <c r="S6" s="113">
        <f>Paramètres!$O$5</f>
        <v>2025</v>
      </c>
      <c r="T6" s="113">
        <f>Paramètres!$O$5</f>
        <v>2025</v>
      </c>
      <c r="U6" s="113">
        <f>Paramètres!$O$5</f>
        <v>2025</v>
      </c>
      <c r="V6" s="113">
        <f>Paramètres!$O$5</f>
        <v>2025</v>
      </c>
      <c r="W6" s="113">
        <f>Paramètres!$O$5</f>
        <v>2025</v>
      </c>
      <c r="X6" s="114" t="str">
        <f>Paramètres!G8</f>
        <v>2020/2025</v>
      </c>
      <c r="Y6" s="113">
        <f>Paramètres!$O$5</f>
        <v>2025</v>
      </c>
      <c r="Z6" s="114" t="s">
        <v>568</v>
      </c>
      <c r="AA6" s="113" t="str">
        <f>_xlfn.CONCAT("10.",Paramètres!O5)</f>
        <v>10.2025</v>
      </c>
      <c r="AB6" s="113" t="str">
        <f>_xlfn.CONCAT("10.",Paramètres!O5)</f>
        <v>10.2025</v>
      </c>
      <c r="AC6" s="113">
        <f>Paramètres!$O$5</f>
        <v>2025</v>
      </c>
      <c r="AD6" s="113">
        <f>Paramètres!$O$5-1</f>
        <v>2024</v>
      </c>
      <c r="AE6" s="113">
        <f>Paramètres!$O$5</f>
        <v>2025</v>
      </c>
    </row>
    <row r="7" spans="1:31" ht="30" customHeight="1" x14ac:dyDescent="0.25">
      <c r="A7" s="492"/>
      <c r="B7" s="492"/>
      <c r="C7" s="178" t="s">
        <v>29</v>
      </c>
      <c r="D7" s="365" t="s">
        <v>15</v>
      </c>
      <c r="E7" s="193" t="s">
        <v>9</v>
      </c>
      <c r="F7" s="191" t="s">
        <v>3</v>
      </c>
      <c r="G7" s="191" t="s">
        <v>4</v>
      </c>
      <c r="H7" s="191" t="s">
        <v>5</v>
      </c>
      <c r="I7" s="191" t="s">
        <v>6</v>
      </c>
      <c r="J7" s="191" t="s">
        <v>7</v>
      </c>
      <c r="K7" s="192" t="s">
        <v>593</v>
      </c>
      <c r="L7" s="191" t="s">
        <v>44</v>
      </c>
      <c r="M7" s="191" t="s">
        <v>575</v>
      </c>
      <c r="N7" s="191" t="s">
        <v>527</v>
      </c>
      <c r="O7" s="193" t="s">
        <v>9</v>
      </c>
      <c r="P7" s="194" t="s">
        <v>8</v>
      </c>
      <c r="Q7" s="194" t="s">
        <v>55</v>
      </c>
      <c r="R7" s="194" t="s">
        <v>35</v>
      </c>
      <c r="S7" s="188" t="s">
        <v>38</v>
      </c>
      <c r="T7" s="188" t="s">
        <v>39</v>
      </c>
      <c r="U7" s="188" t="s">
        <v>40</v>
      </c>
      <c r="V7" s="184" t="s">
        <v>41</v>
      </c>
      <c r="W7" s="366" t="s">
        <v>574</v>
      </c>
      <c r="X7" s="196" t="s">
        <v>30</v>
      </c>
      <c r="Y7" s="196" t="s">
        <v>414</v>
      </c>
      <c r="Z7" s="196" t="s">
        <v>570</v>
      </c>
      <c r="AA7" s="197" t="s">
        <v>42</v>
      </c>
      <c r="AB7" s="197" t="s">
        <v>395</v>
      </c>
      <c r="AC7" s="195" t="s">
        <v>534</v>
      </c>
      <c r="AD7" s="195" t="s">
        <v>535</v>
      </c>
      <c r="AE7" s="213" t="s">
        <v>24</v>
      </c>
    </row>
    <row r="8" spans="1:31" x14ac:dyDescent="0.25">
      <c r="A8" s="107">
        <v>5401</v>
      </c>
      <c r="B8" s="225" t="s">
        <v>66</v>
      </c>
      <c r="C8" s="367">
        <v>12081</v>
      </c>
      <c r="D8" s="370">
        <v>66</v>
      </c>
      <c r="E8" s="230">
        <v>1.2</v>
      </c>
      <c r="F8" s="231">
        <v>12555242.880000001</v>
      </c>
      <c r="G8" s="232">
        <v>2054757.31</v>
      </c>
      <c r="H8" s="232">
        <v>1229989.25</v>
      </c>
      <c r="I8" s="232">
        <v>183487.05</v>
      </c>
      <c r="J8" s="232">
        <v>14702.45</v>
      </c>
      <c r="K8" s="232">
        <v>74292.78</v>
      </c>
      <c r="L8" s="232">
        <v>-328207.07</v>
      </c>
      <c r="M8" s="232"/>
      <c r="N8" s="425">
        <f>Paramètres!$K$20/(Données!$H$302+Données!$I$302)*(Données!H8+Données!I8)</f>
        <v>134389.30976959717</v>
      </c>
      <c r="O8" s="232">
        <v>2646492.75</v>
      </c>
      <c r="P8" s="232">
        <v>856244.48</v>
      </c>
      <c r="Q8" s="232">
        <v>369224.6</v>
      </c>
      <c r="R8" s="232">
        <v>-8553.65</v>
      </c>
      <c r="S8" s="232">
        <v>1326429.1499999999</v>
      </c>
      <c r="T8" s="232">
        <v>509055.1</v>
      </c>
      <c r="U8" s="232">
        <v>691254.7</v>
      </c>
      <c r="V8" s="232">
        <v>1797994.6</v>
      </c>
      <c r="W8" s="233">
        <f>SUM(F8:V8)</f>
        <v>24106795.689769603</v>
      </c>
      <c r="X8" s="232">
        <v>1568</v>
      </c>
      <c r="Y8" s="232">
        <v>9</v>
      </c>
      <c r="Z8" s="234">
        <v>0.35299999999999998</v>
      </c>
      <c r="AA8" s="232">
        <v>1479</v>
      </c>
      <c r="AB8" s="232">
        <v>25</v>
      </c>
      <c r="AC8" s="232">
        <v>1722406</v>
      </c>
      <c r="AD8" s="232">
        <v>-71875</v>
      </c>
      <c r="AE8" s="430">
        <v>1</v>
      </c>
    </row>
    <row r="9" spans="1:31" x14ac:dyDescent="0.25">
      <c r="A9" s="108">
        <v>5402</v>
      </c>
      <c r="B9" s="226" t="s">
        <v>105</v>
      </c>
      <c r="C9" s="368">
        <v>8923</v>
      </c>
      <c r="D9" s="371">
        <v>71</v>
      </c>
      <c r="E9" s="235">
        <v>1.25</v>
      </c>
      <c r="F9" s="231">
        <v>10464849.85</v>
      </c>
      <c r="G9" s="232">
        <v>1498217.96</v>
      </c>
      <c r="H9" s="232">
        <v>602967.65</v>
      </c>
      <c r="I9" s="232">
        <v>-473.100000000009</v>
      </c>
      <c r="J9" s="232">
        <v>-58991.5</v>
      </c>
      <c r="K9" s="232">
        <v>50519.49</v>
      </c>
      <c r="L9" s="232">
        <v>-367349.79</v>
      </c>
      <c r="M9" s="232"/>
      <c r="N9" s="425">
        <f>Paramètres!$K$20/(Données!$H$302+Données!$I$302)*(Données!H9+Données!I9)</f>
        <v>57283.46963754826</v>
      </c>
      <c r="O9" s="232">
        <v>1971828.15</v>
      </c>
      <c r="P9" s="232">
        <v>544387.68000000005</v>
      </c>
      <c r="Q9" s="232">
        <v>87719.3</v>
      </c>
      <c r="R9" s="232">
        <v>-2839.56</v>
      </c>
      <c r="S9" s="232">
        <v>1044377.5</v>
      </c>
      <c r="T9" s="232">
        <v>420008.2</v>
      </c>
      <c r="U9" s="232">
        <v>757869.4</v>
      </c>
      <c r="V9" s="232">
        <v>535758.75</v>
      </c>
      <c r="W9" s="233">
        <f t="shared" ref="W9:W72" si="0">SUM(F9:V9)</f>
        <v>17606133.449637547</v>
      </c>
      <c r="X9" s="232">
        <v>6400</v>
      </c>
      <c r="Y9" s="232">
        <v>516</v>
      </c>
      <c r="Z9" s="234">
        <v>0.7</v>
      </c>
      <c r="AA9" s="232">
        <v>1106</v>
      </c>
      <c r="AB9" s="232">
        <v>141</v>
      </c>
      <c r="AC9" s="232">
        <v>814008</v>
      </c>
      <c r="AD9" s="232">
        <v>-33729</v>
      </c>
      <c r="AE9" s="430">
        <v>1</v>
      </c>
    </row>
    <row r="10" spans="1:31" x14ac:dyDescent="0.25">
      <c r="A10" s="108">
        <v>5403</v>
      </c>
      <c r="B10" s="226" t="s">
        <v>106</v>
      </c>
      <c r="C10" s="368">
        <v>525</v>
      </c>
      <c r="D10" s="371">
        <v>65</v>
      </c>
      <c r="E10" s="235">
        <v>1</v>
      </c>
      <c r="F10" s="231">
        <v>681828.46</v>
      </c>
      <c r="G10" s="232">
        <v>83395.570000000007</v>
      </c>
      <c r="H10" s="232">
        <v>33456.15</v>
      </c>
      <c r="I10" s="232">
        <v>55.05</v>
      </c>
      <c r="J10" s="232">
        <v>0</v>
      </c>
      <c r="K10" s="232">
        <v>0</v>
      </c>
      <c r="L10" s="232">
        <v>-9544.51</v>
      </c>
      <c r="M10" s="232"/>
      <c r="N10" s="425">
        <f>Paramètres!$K$20/(Données!$H$302+Données!$I$302)*(Données!H10+Données!I10)</f>
        <v>3186.1496634580467</v>
      </c>
      <c r="O10" s="232">
        <v>89950.3</v>
      </c>
      <c r="P10" s="232">
        <v>45843.56</v>
      </c>
      <c r="Q10" s="232">
        <v>7435.1</v>
      </c>
      <c r="R10" s="232">
        <v>-113.4</v>
      </c>
      <c r="S10" s="232">
        <v>25890.05</v>
      </c>
      <c r="T10" s="232">
        <v>20047.400000000001</v>
      </c>
      <c r="U10" s="232">
        <v>15370.05</v>
      </c>
      <c r="V10" s="232">
        <v>0</v>
      </c>
      <c r="W10" s="233">
        <f t="shared" si="0"/>
        <v>996799.92966345826</v>
      </c>
      <c r="X10" s="232">
        <v>330</v>
      </c>
      <c r="Y10" s="232">
        <v>0</v>
      </c>
      <c r="Z10" s="234">
        <v>2.4E-2</v>
      </c>
      <c r="AA10" s="232">
        <v>72</v>
      </c>
      <c r="AB10" s="232">
        <v>58</v>
      </c>
      <c r="AC10" s="232" t="s">
        <v>566</v>
      </c>
      <c r="AD10" s="232" t="s">
        <v>566</v>
      </c>
      <c r="AE10" s="430">
        <v>0</v>
      </c>
    </row>
    <row r="11" spans="1:31" x14ac:dyDescent="0.25">
      <c r="A11" s="108">
        <v>5404</v>
      </c>
      <c r="B11" s="226" t="s">
        <v>107</v>
      </c>
      <c r="C11" s="368">
        <v>456</v>
      </c>
      <c r="D11" s="371">
        <v>74</v>
      </c>
      <c r="E11" s="235">
        <v>1.5</v>
      </c>
      <c r="F11" s="231">
        <v>643796.19999999995</v>
      </c>
      <c r="G11" s="232">
        <v>142119.66</v>
      </c>
      <c r="H11" s="232">
        <v>6333.45</v>
      </c>
      <c r="I11" s="232">
        <v>6593.45</v>
      </c>
      <c r="J11" s="232">
        <v>0</v>
      </c>
      <c r="K11" s="232">
        <v>0</v>
      </c>
      <c r="L11" s="232">
        <v>-4930.7700000000004</v>
      </c>
      <c r="M11" s="232"/>
      <c r="N11" s="425">
        <f>Paramètres!$K$20/(Données!$H$302+Données!$I$302)*(Données!H11+Données!I11)</f>
        <v>1229.0529161759596</v>
      </c>
      <c r="O11" s="232">
        <v>144544.4</v>
      </c>
      <c r="P11" s="232">
        <v>3291.48</v>
      </c>
      <c r="Q11" s="232">
        <v>2184.0500000000002</v>
      </c>
      <c r="R11" s="232">
        <v>-1343.64</v>
      </c>
      <c r="S11" s="232">
        <v>51978.8</v>
      </c>
      <c r="T11" s="232">
        <v>60555</v>
      </c>
      <c r="U11" s="232">
        <v>60280.65</v>
      </c>
      <c r="V11" s="232">
        <v>18780.2</v>
      </c>
      <c r="W11" s="233">
        <f t="shared" si="0"/>
        <v>1135411.9829161756</v>
      </c>
      <c r="X11" s="232">
        <v>2057</v>
      </c>
      <c r="Y11" s="232">
        <v>446</v>
      </c>
      <c r="Z11" s="234">
        <v>0.66400000000000003</v>
      </c>
      <c r="AA11" s="232">
        <v>43</v>
      </c>
      <c r="AB11" s="232">
        <v>30</v>
      </c>
      <c r="AC11" s="232" t="s">
        <v>566</v>
      </c>
      <c r="AD11" s="232" t="s">
        <v>566</v>
      </c>
      <c r="AE11" s="430">
        <v>0</v>
      </c>
    </row>
    <row r="12" spans="1:31" x14ac:dyDescent="0.25">
      <c r="A12" s="108">
        <v>5405</v>
      </c>
      <c r="B12" s="226" t="s">
        <v>108</v>
      </c>
      <c r="C12" s="368">
        <v>1546</v>
      </c>
      <c r="D12" s="371">
        <v>73.5</v>
      </c>
      <c r="E12" s="235">
        <v>1.5</v>
      </c>
      <c r="F12" s="231">
        <v>3399046.61</v>
      </c>
      <c r="G12" s="232">
        <v>1465524.89</v>
      </c>
      <c r="H12" s="232">
        <v>27821.4</v>
      </c>
      <c r="I12" s="232">
        <v>9735.5499999999993</v>
      </c>
      <c r="J12" s="232">
        <v>243608.55</v>
      </c>
      <c r="K12" s="232">
        <v>13254.41</v>
      </c>
      <c r="L12" s="232">
        <v>-59914.05</v>
      </c>
      <c r="M12" s="232"/>
      <c r="N12" s="425">
        <f>Paramètres!$K$20/(Données!$H$302+Données!$I$302)*(Données!H12+Données!I12)</f>
        <v>3570.8080761957394</v>
      </c>
      <c r="O12" s="232">
        <v>1321791.8</v>
      </c>
      <c r="P12" s="232">
        <v>154430.53</v>
      </c>
      <c r="Q12" s="232">
        <v>16160.75</v>
      </c>
      <c r="R12" s="232">
        <v>-5488.65</v>
      </c>
      <c r="S12" s="232">
        <v>472881.95</v>
      </c>
      <c r="T12" s="232">
        <v>151360.20000000001</v>
      </c>
      <c r="U12" s="232">
        <v>322034.7</v>
      </c>
      <c r="V12" s="232">
        <v>6978.8</v>
      </c>
      <c r="W12" s="233">
        <f t="shared" si="0"/>
        <v>7542798.2480761958</v>
      </c>
      <c r="X12" s="232">
        <v>1404</v>
      </c>
      <c r="Y12" s="232">
        <v>1546</v>
      </c>
      <c r="Z12" s="234">
        <v>0.61099999999999999</v>
      </c>
      <c r="AA12" s="232">
        <v>140</v>
      </c>
      <c r="AB12" s="232">
        <v>98</v>
      </c>
      <c r="AC12" s="232">
        <v>203681</v>
      </c>
      <c r="AD12" s="232">
        <v>0</v>
      </c>
      <c r="AE12" s="430">
        <v>0</v>
      </c>
    </row>
    <row r="13" spans="1:31" x14ac:dyDescent="0.25">
      <c r="A13" s="108">
        <v>5406</v>
      </c>
      <c r="B13" s="226" t="s">
        <v>109</v>
      </c>
      <c r="C13" s="368">
        <v>1024</v>
      </c>
      <c r="D13" s="371">
        <v>71.5</v>
      </c>
      <c r="E13" s="235">
        <v>1.3</v>
      </c>
      <c r="F13" s="231">
        <v>1136193.1200000001</v>
      </c>
      <c r="G13" s="232">
        <v>169088.31</v>
      </c>
      <c r="H13" s="232">
        <v>164909.70000000001</v>
      </c>
      <c r="I13" s="232">
        <v>5161.2</v>
      </c>
      <c r="J13" s="232">
        <v>0</v>
      </c>
      <c r="K13" s="232">
        <v>342.31</v>
      </c>
      <c r="L13" s="232">
        <v>-27177.48</v>
      </c>
      <c r="M13" s="232"/>
      <c r="N13" s="425">
        <f>Paramètres!$K$20/(Données!$H$302+Données!$I$302)*(Données!H13+Données!I13)</f>
        <v>16169.85786241636</v>
      </c>
      <c r="O13" s="232">
        <v>212922.2</v>
      </c>
      <c r="P13" s="232">
        <v>50487.519999999997</v>
      </c>
      <c r="Q13" s="232">
        <v>10439.5</v>
      </c>
      <c r="R13" s="232">
        <v>-195.1</v>
      </c>
      <c r="S13" s="232">
        <v>75270.95</v>
      </c>
      <c r="T13" s="232">
        <v>21235.3</v>
      </c>
      <c r="U13" s="232">
        <v>96668.4</v>
      </c>
      <c r="V13" s="232">
        <v>58337.1</v>
      </c>
      <c r="W13" s="233">
        <f t="shared" si="0"/>
        <v>1989852.8878624164</v>
      </c>
      <c r="X13" s="232">
        <v>1247</v>
      </c>
      <c r="Y13" s="232">
        <v>25</v>
      </c>
      <c r="Z13" s="234">
        <v>0.82699999999999996</v>
      </c>
      <c r="AA13" s="232">
        <v>144</v>
      </c>
      <c r="AB13" s="232">
        <v>5</v>
      </c>
      <c r="AC13" s="232" t="s">
        <v>566</v>
      </c>
      <c r="AD13" s="232" t="s">
        <v>566</v>
      </c>
      <c r="AE13" s="430">
        <v>0</v>
      </c>
    </row>
    <row r="14" spans="1:31" x14ac:dyDescent="0.25">
      <c r="A14" s="108">
        <v>5407</v>
      </c>
      <c r="B14" s="226" t="s">
        <v>110</v>
      </c>
      <c r="C14" s="368">
        <v>3722</v>
      </c>
      <c r="D14" s="371">
        <v>78</v>
      </c>
      <c r="E14" s="235">
        <v>1.5</v>
      </c>
      <c r="F14" s="231">
        <v>4278908.8899999997</v>
      </c>
      <c r="G14" s="232">
        <v>1213553.52</v>
      </c>
      <c r="H14" s="232">
        <v>365685.5</v>
      </c>
      <c r="I14" s="232">
        <v>176935.65</v>
      </c>
      <c r="J14" s="232">
        <v>94610</v>
      </c>
      <c r="K14" s="232">
        <v>8491.07</v>
      </c>
      <c r="L14" s="232">
        <v>-225898.3</v>
      </c>
      <c r="M14" s="232"/>
      <c r="N14" s="425">
        <f>Paramètres!$K$20/(Données!$H$302+Données!$I$302)*(Données!H14+Données!I14)</f>
        <v>51590.876914515691</v>
      </c>
      <c r="O14" s="232">
        <v>1377379.4</v>
      </c>
      <c r="P14" s="232">
        <v>555616.64</v>
      </c>
      <c r="Q14" s="232">
        <v>61904.9</v>
      </c>
      <c r="R14" s="232">
        <v>-9568.7999999999993</v>
      </c>
      <c r="S14" s="232">
        <v>531151.80000000005</v>
      </c>
      <c r="T14" s="232">
        <v>7249.1</v>
      </c>
      <c r="U14" s="232">
        <v>497571.2</v>
      </c>
      <c r="V14" s="232">
        <v>122107.85</v>
      </c>
      <c r="W14" s="233">
        <f t="shared" si="0"/>
        <v>9107289.296914516</v>
      </c>
      <c r="X14" s="232">
        <v>1489</v>
      </c>
      <c r="Y14" s="232">
        <v>3722</v>
      </c>
      <c r="Z14" s="234">
        <v>0.70199999999999996</v>
      </c>
      <c r="AA14" s="232">
        <v>296</v>
      </c>
      <c r="AB14" s="232">
        <v>86</v>
      </c>
      <c r="AC14" s="232" t="s">
        <v>566</v>
      </c>
      <c r="AD14" s="232" t="s">
        <v>566</v>
      </c>
      <c r="AE14" s="430">
        <v>0</v>
      </c>
    </row>
    <row r="15" spans="1:31" x14ac:dyDescent="0.25">
      <c r="A15" s="108">
        <v>5408</v>
      </c>
      <c r="B15" s="226" t="s">
        <v>111</v>
      </c>
      <c r="C15" s="368">
        <v>1214</v>
      </c>
      <c r="D15" s="371">
        <v>75</v>
      </c>
      <c r="E15" s="235">
        <v>1.5</v>
      </c>
      <c r="F15" s="231">
        <v>2317310.94</v>
      </c>
      <c r="G15" s="232">
        <v>424828.42</v>
      </c>
      <c r="H15" s="232">
        <v>229750.25</v>
      </c>
      <c r="I15" s="232">
        <v>8151.3</v>
      </c>
      <c r="J15" s="232">
        <v>0</v>
      </c>
      <c r="K15" s="232">
        <v>1008.32</v>
      </c>
      <c r="L15" s="232">
        <v>-39308.31</v>
      </c>
      <c r="M15" s="232"/>
      <c r="N15" s="425">
        <f>Paramètres!$K$20/(Données!$H$302+Données!$I$302)*(Données!H15+Données!I15)</f>
        <v>22619.003302437621</v>
      </c>
      <c r="O15" s="232">
        <v>554869.15</v>
      </c>
      <c r="P15" s="232">
        <v>67119.929999999993</v>
      </c>
      <c r="Q15" s="232">
        <v>26199.45</v>
      </c>
      <c r="R15" s="232">
        <v>-2117.25</v>
      </c>
      <c r="S15" s="232">
        <v>158546.95000000001</v>
      </c>
      <c r="T15" s="232">
        <v>0</v>
      </c>
      <c r="U15" s="232">
        <v>96184.85</v>
      </c>
      <c r="V15" s="232">
        <v>248277.7</v>
      </c>
      <c r="W15" s="233">
        <f t="shared" si="0"/>
        <v>4113440.7033024379</v>
      </c>
      <c r="X15" s="232">
        <v>886</v>
      </c>
      <c r="Y15" s="232">
        <v>0</v>
      </c>
      <c r="Z15" s="234">
        <v>0.01</v>
      </c>
      <c r="AA15" s="232">
        <v>156</v>
      </c>
      <c r="AB15" s="232">
        <v>75</v>
      </c>
      <c r="AC15" s="232" t="s">
        <v>566</v>
      </c>
      <c r="AD15" s="232" t="s">
        <v>566</v>
      </c>
      <c r="AE15" s="430">
        <v>0</v>
      </c>
    </row>
    <row r="16" spans="1:31" x14ac:dyDescent="0.25">
      <c r="A16" s="108">
        <v>5409</v>
      </c>
      <c r="B16" s="226" t="s">
        <v>112</v>
      </c>
      <c r="C16" s="368">
        <v>8302</v>
      </c>
      <c r="D16" s="371">
        <v>68</v>
      </c>
      <c r="E16" s="235">
        <v>1.3</v>
      </c>
      <c r="F16" s="231">
        <v>14696302.630000001</v>
      </c>
      <c r="G16" s="232">
        <v>6107223.0700000003</v>
      </c>
      <c r="H16" s="232">
        <v>867335.45</v>
      </c>
      <c r="I16" s="232">
        <v>116886.9</v>
      </c>
      <c r="J16" s="232">
        <v>2480688.0699999998</v>
      </c>
      <c r="K16" s="232">
        <v>34653.22</v>
      </c>
      <c r="L16" s="232">
        <v>-301071.83</v>
      </c>
      <c r="M16" s="232"/>
      <c r="N16" s="425">
        <f>Paramètres!$K$20/(Données!$H$302+Données!$I$302)*(Données!H16+Données!I16)</f>
        <v>93577.064062772668</v>
      </c>
      <c r="O16" s="232">
        <v>4533459.7</v>
      </c>
      <c r="P16" s="232">
        <v>1005296.36</v>
      </c>
      <c r="Q16" s="232">
        <v>149199.20000000001</v>
      </c>
      <c r="R16" s="232">
        <v>-141204.15</v>
      </c>
      <c r="S16" s="232">
        <v>2213707.5499999998</v>
      </c>
      <c r="T16" s="232">
        <v>1974449.4</v>
      </c>
      <c r="U16" s="232">
        <v>1458742.9</v>
      </c>
      <c r="V16" s="232">
        <v>153445.25</v>
      </c>
      <c r="W16" s="233">
        <f t="shared" si="0"/>
        <v>35442690.784062773</v>
      </c>
      <c r="X16" s="232">
        <v>5746</v>
      </c>
      <c r="Y16" s="232">
        <v>4178</v>
      </c>
      <c r="Z16" s="234">
        <v>0.52800000000000002</v>
      </c>
      <c r="AA16" s="232">
        <v>666</v>
      </c>
      <c r="AB16" s="232">
        <v>194</v>
      </c>
      <c r="AC16" s="232">
        <v>1112984</v>
      </c>
      <c r="AD16" s="232">
        <v>-39350</v>
      </c>
      <c r="AE16" s="430">
        <v>1</v>
      </c>
    </row>
    <row r="17" spans="1:31" x14ac:dyDescent="0.25">
      <c r="A17" s="108">
        <v>5410</v>
      </c>
      <c r="B17" s="226" t="s">
        <v>113</v>
      </c>
      <c r="C17" s="368">
        <v>1261</v>
      </c>
      <c r="D17" s="371">
        <v>77</v>
      </c>
      <c r="E17" s="235">
        <v>1.5</v>
      </c>
      <c r="F17" s="231">
        <v>1951072.39</v>
      </c>
      <c r="G17" s="232">
        <v>595218.12</v>
      </c>
      <c r="H17" s="232">
        <v>59418.15</v>
      </c>
      <c r="I17" s="232">
        <v>-341.35</v>
      </c>
      <c r="J17" s="232">
        <v>0</v>
      </c>
      <c r="K17" s="232">
        <v>6993.43</v>
      </c>
      <c r="L17" s="232">
        <v>-35653</v>
      </c>
      <c r="M17" s="232"/>
      <c r="N17" s="425">
        <f>Paramètres!$K$20/(Données!$H$302+Données!$I$302)*(Données!H17+Données!I17)</f>
        <v>5616.8542588202845</v>
      </c>
      <c r="O17" s="232">
        <v>627673.25</v>
      </c>
      <c r="P17" s="232">
        <v>101671.24</v>
      </c>
      <c r="Q17" s="232">
        <v>7312.5</v>
      </c>
      <c r="R17" s="232">
        <v>-235.75</v>
      </c>
      <c r="S17" s="232">
        <v>202211.20000000001</v>
      </c>
      <c r="T17" s="232">
        <v>105252.2</v>
      </c>
      <c r="U17" s="232">
        <v>266303.3</v>
      </c>
      <c r="V17" s="232">
        <v>21318.35</v>
      </c>
      <c r="W17" s="233">
        <f t="shared" si="0"/>
        <v>3913830.8842588207</v>
      </c>
      <c r="X17" s="232">
        <v>5679</v>
      </c>
      <c r="Y17" s="232">
        <v>1261</v>
      </c>
      <c r="Z17" s="234">
        <v>0.623</v>
      </c>
      <c r="AA17" s="232">
        <v>121</v>
      </c>
      <c r="AB17" s="232">
        <v>76</v>
      </c>
      <c r="AC17" s="232" t="s">
        <v>566</v>
      </c>
      <c r="AD17" s="232" t="s">
        <v>566</v>
      </c>
      <c r="AE17" s="430">
        <v>0</v>
      </c>
    </row>
    <row r="18" spans="1:31" x14ac:dyDescent="0.25">
      <c r="A18" s="108">
        <v>5411</v>
      </c>
      <c r="B18" s="226" t="s">
        <v>114</v>
      </c>
      <c r="C18" s="368">
        <v>1440</v>
      </c>
      <c r="D18" s="371">
        <v>76</v>
      </c>
      <c r="E18" s="235">
        <v>1.5</v>
      </c>
      <c r="F18" s="231">
        <v>3366724.59</v>
      </c>
      <c r="G18" s="232">
        <v>1533080.35</v>
      </c>
      <c r="H18" s="232">
        <v>130986.45</v>
      </c>
      <c r="I18" s="232">
        <v>3210.05</v>
      </c>
      <c r="J18" s="232">
        <v>189753.65</v>
      </c>
      <c r="K18" s="232">
        <v>6858.44</v>
      </c>
      <c r="L18" s="232">
        <v>-29973.33</v>
      </c>
      <c r="M18" s="232"/>
      <c r="N18" s="425">
        <f>Paramètres!$K$20/(Données!$H$302+Données!$I$302)*(Données!H18+Données!I18)</f>
        <v>12759.021858729253</v>
      </c>
      <c r="O18" s="232">
        <v>1360672.1</v>
      </c>
      <c r="P18" s="232">
        <v>215675.35</v>
      </c>
      <c r="Q18" s="232">
        <v>5673.95</v>
      </c>
      <c r="R18" s="232">
        <v>-3325.68</v>
      </c>
      <c r="S18" s="232">
        <v>491008.4</v>
      </c>
      <c r="T18" s="232">
        <v>82762.8</v>
      </c>
      <c r="U18" s="232">
        <v>567704.4</v>
      </c>
      <c r="V18" s="232">
        <v>11496.4</v>
      </c>
      <c r="W18" s="233">
        <f t="shared" si="0"/>
        <v>7945066.9418587312</v>
      </c>
      <c r="X18" s="232">
        <v>4328</v>
      </c>
      <c r="Y18" s="232">
        <v>1440</v>
      </c>
      <c r="Z18" s="234">
        <v>0.72699999999999998</v>
      </c>
      <c r="AA18" s="232">
        <v>131</v>
      </c>
      <c r="AB18" s="232">
        <v>80</v>
      </c>
      <c r="AC18" s="232" t="s">
        <v>566</v>
      </c>
      <c r="AD18" s="232" t="s">
        <v>566</v>
      </c>
      <c r="AE18" s="430">
        <v>0</v>
      </c>
    </row>
    <row r="19" spans="1:31" x14ac:dyDescent="0.25">
      <c r="A19" s="108">
        <v>5412</v>
      </c>
      <c r="B19" s="226" t="s">
        <v>115</v>
      </c>
      <c r="C19" s="368">
        <v>935</v>
      </c>
      <c r="D19" s="371">
        <v>66</v>
      </c>
      <c r="E19" s="235">
        <v>1</v>
      </c>
      <c r="F19" s="231">
        <v>1177162.95</v>
      </c>
      <c r="G19" s="232">
        <v>123561.76</v>
      </c>
      <c r="H19" s="232">
        <v>217977.65</v>
      </c>
      <c r="I19" s="232">
        <v>-30164.35</v>
      </c>
      <c r="J19" s="232">
        <v>0</v>
      </c>
      <c r="K19" s="232">
        <v>557.74</v>
      </c>
      <c r="L19" s="232">
        <v>-24612.65</v>
      </c>
      <c r="M19" s="232"/>
      <c r="N19" s="425">
        <f>Paramètres!$K$20/(Données!$H$302+Données!$I$302)*(Données!H19+Données!I19)</f>
        <v>17856.754833844956</v>
      </c>
      <c r="O19" s="232">
        <v>287458.2</v>
      </c>
      <c r="P19" s="232">
        <v>89494.95</v>
      </c>
      <c r="Q19" s="232">
        <v>71988.3</v>
      </c>
      <c r="R19" s="232">
        <v>-343.35</v>
      </c>
      <c r="S19" s="232">
        <v>235507.65</v>
      </c>
      <c r="T19" s="232">
        <v>45500</v>
      </c>
      <c r="U19" s="232">
        <v>81913.55</v>
      </c>
      <c r="V19" s="232">
        <v>1339075.05</v>
      </c>
      <c r="W19" s="233">
        <f t="shared" si="0"/>
        <v>3632934.2048338447</v>
      </c>
      <c r="X19" s="232">
        <v>216</v>
      </c>
      <c r="Y19" s="232">
        <v>0</v>
      </c>
      <c r="Z19" s="234">
        <v>0.02</v>
      </c>
      <c r="AA19" s="232">
        <v>120</v>
      </c>
      <c r="AB19" s="232">
        <v>79</v>
      </c>
      <c r="AC19" s="232" t="s">
        <v>566</v>
      </c>
      <c r="AD19" s="232" t="s">
        <v>566</v>
      </c>
      <c r="AE19" s="430">
        <v>0</v>
      </c>
    </row>
    <row r="20" spans="1:31" x14ac:dyDescent="0.25">
      <c r="A20" s="108">
        <v>5413</v>
      </c>
      <c r="B20" s="226" t="s">
        <v>116</v>
      </c>
      <c r="C20" s="368">
        <v>2035</v>
      </c>
      <c r="D20" s="371">
        <v>66.5</v>
      </c>
      <c r="E20" s="235">
        <v>1.2</v>
      </c>
      <c r="F20" s="231">
        <v>2068808.51</v>
      </c>
      <c r="G20" s="232">
        <v>285665.84999999998</v>
      </c>
      <c r="H20" s="232">
        <v>229700.65</v>
      </c>
      <c r="I20" s="232">
        <v>3524.9</v>
      </c>
      <c r="J20" s="232">
        <v>0</v>
      </c>
      <c r="K20" s="232">
        <v>7340.8</v>
      </c>
      <c r="L20" s="232">
        <v>-60955.59</v>
      </c>
      <c r="M20" s="232"/>
      <c r="N20" s="425">
        <f>Paramètres!$K$20/(Données!$H$302+Données!$I$302)*(Données!H20+Données!I20)</f>
        <v>22174.42251075216</v>
      </c>
      <c r="O20" s="232">
        <v>412537.05</v>
      </c>
      <c r="P20" s="232">
        <v>114815.75</v>
      </c>
      <c r="Q20" s="232">
        <v>41990.15</v>
      </c>
      <c r="R20" s="232">
        <v>-199.15</v>
      </c>
      <c r="S20" s="232">
        <v>419346.3</v>
      </c>
      <c r="T20" s="232">
        <v>8179</v>
      </c>
      <c r="U20" s="232">
        <v>164111.29999999999</v>
      </c>
      <c r="V20" s="232">
        <v>431854.25</v>
      </c>
      <c r="W20" s="233">
        <f t="shared" si="0"/>
        <v>4148894.1925107511</v>
      </c>
      <c r="X20" s="232">
        <v>617</v>
      </c>
      <c r="Y20" s="232">
        <v>0</v>
      </c>
      <c r="Z20" s="234">
        <v>0.29799999999999999</v>
      </c>
      <c r="AA20" s="232">
        <v>305</v>
      </c>
      <c r="AB20" s="232">
        <v>86</v>
      </c>
      <c r="AC20" s="232" t="s">
        <v>566</v>
      </c>
      <c r="AD20" s="232" t="s">
        <v>566</v>
      </c>
      <c r="AE20" s="430">
        <v>0</v>
      </c>
    </row>
    <row r="21" spans="1:31" x14ac:dyDescent="0.25">
      <c r="A21" s="108">
        <v>5414</v>
      </c>
      <c r="B21" s="226" t="s">
        <v>117</v>
      </c>
      <c r="C21" s="368">
        <v>6073</v>
      </c>
      <c r="D21" s="371">
        <v>66.5</v>
      </c>
      <c r="E21" s="235">
        <v>1</v>
      </c>
      <c r="F21" s="231">
        <v>7389683.7800000003</v>
      </c>
      <c r="G21" s="232">
        <v>1187210.04</v>
      </c>
      <c r="H21" s="232">
        <v>674454.85</v>
      </c>
      <c r="I21" s="232">
        <v>220010.8</v>
      </c>
      <c r="J21" s="232">
        <v>76837.55</v>
      </c>
      <c r="K21" s="232">
        <v>16402.150000000001</v>
      </c>
      <c r="L21" s="232">
        <v>-229345.32</v>
      </c>
      <c r="M21" s="232"/>
      <c r="N21" s="425">
        <f>Paramètres!$K$20/(Données!$H$302+Données!$I$302)*(Données!H21+Données!I21)</f>
        <v>85043.252098471028</v>
      </c>
      <c r="O21" s="232">
        <v>1368786.8</v>
      </c>
      <c r="P21" s="232">
        <v>425881.78</v>
      </c>
      <c r="Q21" s="232">
        <v>157068</v>
      </c>
      <c r="R21" s="232">
        <v>-4256.3500000000004</v>
      </c>
      <c r="S21" s="232">
        <v>984066.25</v>
      </c>
      <c r="T21" s="232">
        <v>169296.4</v>
      </c>
      <c r="U21" s="232">
        <v>601789.05000000005</v>
      </c>
      <c r="V21" s="232">
        <v>1578502.7</v>
      </c>
      <c r="W21" s="233">
        <f t="shared" si="0"/>
        <v>14701431.732098473</v>
      </c>
      <c r="X21" s="232">
        <v>2899</v>
      </c>
      <c r="Y21" s="232">
        <v>0</v>
      </c>
      <c r="Z21" s="234">
        <v>0.82099999999999995</v>
      </c>
      <c r="AA21" s="232">
        <v>699</v>
      </c>
      <c r="AB21" s="232">
        <v>32</v>
      </c>
      <c r="AC21" s="232">
        <v>923124.7</v>
      </c>
      <c r="AD21" s="232">
        <v>-158484.5</v>
      </c>
      <c r="AE21" s="430">
        <v>0</v>
      </c>
    </row>
    <row r="22" spans="1:31" x14ac:dyDescent="0.25">
      <c r="A22" s="108">
        <v>5415</v>
      </c>
      <c r="B22" s="226" t="s">
        <v>118</v>
      </c>
      <c r="C22" s="368">
        <v>1119</v>
      </c>
      <c r="D22" s="371">
        <v>71.5</v>
      </c>
      <c r="E22" s="235">
        <v>1.5</v>
      </c>
      <c r="F22" s="231">
        <v>1894143.26</v>
      </c>
      <c r="G22" s="232">
        <v>403680.24</v>
      </c>
      <c r="H22" s="232">
        <v>75311</v>
      </c>
      <c r="I22" s="232">
        <v>15280.35</v>
      </c>
      <c r="J22" s="232">
        <v>-1096.5999999999999</v>
      </c>
      <c r="K22" s="232">
        <v>1788.53</v>
      </c>
      <c r="L22" s="232">
        <v>-40463.660000000003</v>
      </c>
      <c r="M22" s="232"/>
      <c r="N22" s="425">
        <f>Paramètres!$K$20/(Données!$H$302+Données!$I$302)*(Données!H22+Données!I22)</f>
        <v>8613.1681143829555</v>
      </c>
      <c r="O22" s="232">
        <v>414021.4</v>
      </c>
      <c r="P22" s="232">
        <v>53190.76</v>
      </c>
      <c r="Q22" s="232">
        <v>24182.65</v>
      </c>
      <c r="R22" s="232">
        <v>-5643.6</v>
      </c>
      <c r="S22" s="232">
        <v>98053.75</v>
      </c>
      <c r="T22" s="232">
        <v>45305.5</v>
      </c>
      <c r="U22" s="232">
        <v>86785.7</v>
      </c>
      <c r="V22" s="232">
        <v>39756.25</v>
      </c>
      <c r="W22" s="233">
        <f t="shared" si="0"/>
        <v>3112908.6981143821</v>
      </c>
      <c r="X22" s="232">
        <v>1178</v>
      </c>
      <c r="Y22" s="232">
        <v>0</v>
      </c>
      <c r="Z22" s="234">
        <v>0.32800000000000001</v>
      </c>
      <c r="AA22" s="232">
        <v>127</v>
      </c>
      <c r="AB22" s="232">
        <v>36</v>
      </c>
      <c r="AC22" s="232">
        <v>184050</v>
      </c>
      <c r="AD22" s="232">
        <v>-11645</v>
      </c>
      <c r="AE22" s="430">
        <v>0</v>
      </c>
    </row>
    <row r="23" spans="1:31" x14ac:dyDescent="0.25">
      <c r="A23" s="108">
        <v>5422</v>
      </c>
      <c r="B23" s="226" t="s">
        <v>119</v>
      </c>
      <c r="C23" s="368">
        <v>3896</v>
      </c>
      <c r="D23" s="371">
        <v>68</v>
      </c>
      <c r="E23" s="235">
        <v>1</v>
      </c>
      <c r="F23" s="231">
        <v>12092400.49</v>
      </c>
      <c r="G23" s="232">
        <v>2094655.85</v>
      </c>
      <c r="H23" s="232">
        <v>12953394.949999999</v>
      </c>
      <c r="I23" s="232">
        <v>-1326196.8500000001</v>
      </c>
      <c r="J23" s="232">
        <v>116580.35</v>
      </c>
      <c r="K23" s="232">
        <v>17251.490000000002</v>
      </c>
      <c r="L23" s="232">
        <v>-126690.86</v>
      </c>
      <c r="M23" s="232"/>
      <c r="N23" s="425">
        <f>Paramètres!$K$20/(Données!$H$302+Données!$I$302)*(Données!H23+Données!I23)</f>
        <v>1105480.9530328678</v>
      </c>
      <c r="O23" s="232">
        <v>1246583.6599999999</v>
      </c>
      <c r="P23" s="232">
        <v>444850.55</v>
      </c>
      <c r="Q23" s="232">
        <v>110024.2</v>
      </c>
      <c r="R23" s="232">
        <v>-15864.36</v>
      </c>
      <c r="S23" s="232">
        <v>526742.1</v>
      </c>
      <c r="T23" s="232">
        <v>562829.69999999995</v>
      </c>
      <c r="U23" s="232">
        <v>528128.6</v>
      </c>
      <c r="V23" s="232">
        <v>944978.55</v>
      </c>
      <c r="W23" s="233">
        <f t="shared" si="0"/>
        <v>31275149.373032868</v>
      </c>
      <c r="X23" s="232">
        <v>1425</v>
      </c>
      <c r="Y23" s="232">
        <v>0</v>
      </c>
      <c r="Z23" s="234">
        <v>0.112</v>
      </c>
      <c r="AA23" s="232">
        <v>422</v>
      </c>
      <c r="AB23" s="232">
        <v>92</v>
      </c>
      <c r="AC23" s="232" t="s">
        <v>566</v>
      </c>
      <c r="AD23" s="232" t="s">
        <v>566</v>
      </c>
      <c r="AE23" s="430">
        <v>0</v>
      </c>
    </row>
    <row r="24" spans="1:31" x14ac:dyDescent="0.25">
      <c r="A24" s="108">
        <v>5423</v>
      </c>
      <c r="B24" s="226" t="s">
        <v>411</v>
      </c>
      <c r="C24" s="368">
        <v>580</v>
      </c>
      <c r="D24" s="371">
        <v>73</v>
      </c>
      <c r="E24" s="235">
        <v>0.5</v>
      </c>
      <c r="F24" s="231">
        <v>915916.71</v>
      </c>
      <c r="G24" s="232">
        <v>126587.61</v>
      </c>
      <c r="H24" s="232">
        <v>29642.5</v>
      </c>
      <c r="I24" s="232">
        <v>1550.4</v>
      </c>
      <c r="J24" s="232">
        <v>0</v>
      </c>
      <c r="K24" s="232">
        <v>2.84</v>
      </c>
      <c r="L24" s="232">
        <v>-9546.9</v>
      </c>
      <c r="M24" s="232"/>
      <c r="N24" s="425">
        <f>Paramètres!$K$20/(Données!$H$302+Données!$I$302)*(Données!H24+Données!I24)</f>
        <v>2965.732287631613</v>
      </c>
      <c r="O24" s="232">
        <v>47743.25</v>
      </c>
      <c r="P24" s="232">
        <v>40617.75</v>
      </c>
      <c r="Q24" s="232">
        <v>-3334.65</v>
      </c>
      <c r="R24" s="232">
        <v>-99.65</v>
      </c>
      <c r="S24" s="232">
        <v>72397</v>
      </c>
      <c r="T24" s="232">
        <v>0</v>
      </c>
      <c r="U24" s="232">
        <v>42955.9</v>
      </c>
      <c r="V24" s="232">
        <v>25512.2</v>
      </c>
      <c r="W24" s="233">
        <f t="shared" si="0"/>
        <v>1292910.6922876316</v>
      </c>
      <c r="X24" s="232">
        <v>832</v>
      </c>
      <c r="Y24" s="232">
        <v>0</v>
      </c>
      <c r="Z24" s="234">
        <v>1.7000000000000001E-2</v>
      </c>
      <c r="AA24" s="232">
        <v>67</v>
      </c>
      <c r="AB24" s="232">
        <v>67</v>
      </c>
      <c r="AC24" s="232" t="s">
        <v>566</v>
      </c>
      <c r="AD24" s="232" t="s">
        <v>566</v>
      </c>
      <c r="AE24" s="430">
        <v>0</v>
      </c>
    </row>
    <row r="25" spans="1:31" x14ac:dyDescent="0.25">
      <c r="A25" s="108">
        <v>5424</v>
      </c>
      <c r="B25" s="226" t="s">
        <v>120</v>
      </c>
      <c r="C25" s="368">
        <v>300</v>
      </c>
      <c r="D25" s="371">
        <v>75.5</v>
      </c>
      <c r="E25" s="235">
        <v>1</v>
      </c>
      <c r="F25" s="231">
        <v>549338.18999999994</v>
      </c>
      <c r="G25" s="232">
        <v>98159.13</v>
      </c>
      <c r="H25" s="232">
        <v>5037.3500000000004</v>
      </c>
      <c r="I25" s="232">
        <v>1393.7</v>
      </c>
      <c r="J25" s="232">
        <v>44297.7</v>
      </c>
      <c r="K25" s="232">
        <v>176.63</v>
      </c>
      <c r="L25" s="232">
        <v>-7975.81</v>
      </c>
      <c r="M25" s="232"/>
      <c r="N25" s="425">
        <f>Paramètres!$K$20/(Données!$H$302+Données!$I$302)*(Données!H25+Données!I25)</f>
        <v>611.44595816269998</v>
      </c>
      <c r="O25" s="232">
        <v>56377.35</v>
      </c>
      <c r="P25" s="232">
        <v>10122.86</v>
      </c>
      <c r="Q25" s="232">
        <v>1075.5</v>
      </c>
      <c r="R25" s="232">
        <v>0</v>
      </c>
      <c r="S25" s="232">
        <v>12155</v>
      </c>
      <c r="T25" s="232">
        <v>0</v>
      </c>
      <c r="U25" s="232">
        <v>36729</v>
      </c>
      <c r="V25" s="232">
        <v>1089.6500000000001</v>
      </c>
      <c r="W25" s="233">
        <f t="shared" si="0"/>
        <v>808587.69595816243</v>
      </c>
      <c r="X25" s="232">
        <v>963</v>
      </c>
      <c r="Y25" s="232">
        <v>296</v>
      </c>
      <c r="Z25" s="234">
        <v>0.26100000000000001</v>
      </c>
      <c r="AA25" s="232">
        <v>35</v>
      </c>
      <c r="AB25" s="232">
        <v>35</v>
      </c>
      <c r="AC25" s="232" t="s">
        <v>566</v>
      </c>
      <c r="AD25" s="232" t="s">
        <v>566</v>
      </c>
      <c r="AE25" s="430">
        <v>0</v>
      </c>
    </row>
    <row r="26" spans="1:31" x14ac:dyDescent="0.25">
      <c r="A26" s="108">
        <v>5425</v>
      </c>
      <c r="B26" s="226" t="s">
        <v>121</v>
      </c>
      <c r="C26" s="368">
        <v>1701</v>
      </c>
      <c r="D26" s="371">
        <v>69</v>
      </c>
      <c r="E26" s="235">
        <v>0.57999999999999996</v>
      </c>
      <c r="F26" s="231">
        <v>2203638.4</v>
      </c>
      <c r="G26" s="232">
        <v>293385.90000000002</v>
      </c>
      <c r="H26" s="232">
        <v>151318.04999999999</v>
      </c>
      <c r="I26" s="232">
        <v>-11965.55</v>
      </c>
      <c r="J26" s="232">
        <v>0</v>
      </c>
      <c r="K26" s="232">
        <v>31318.13</v>
      </c>
      <c r="L26" s="232">
        <v>-50848.17</v>
      </c>
      <c r="M26" s="232"/>
      <c r="N26" s="425">
        <f>Paramètres!$K$20/(Données!$H$302+Données!$I$302)*(Données!H26+Données!I26)</f>
        <v>13249.239686344787</v>
      </c>
      <c r="O26" s="232">
        <v>141655.35</v>
      </c>
      <c r="P26" s="232">
        <v>171965.23</v>
      </c>
      <c r="Q26" s="232">
        <v>20049.349999999999</v>
      </c>
      <c r="R26" s="232">
        <v>-34.409999999999997</v>
      </c>
      <c r="S26" s="232">
        <v>167754.4</v>
      </c>
      <c r="T26" s="232">
        <v>7498.1</v>
      </c>
      <c r="U26" s="232">
        <v>124489.4</v>
      </c>
      <c r="V26" s="232">
        <v>95457.9</v>
      </c>
      <c r="W26" s="233">
        <f t="shared" si="0"/>
        <v>3358931.3196863444</v>
      </c>
      <c r="X26" s="232">
        <v>2432</v>
      </c>
      <c r="Y26" s="232">
        <v>11</v>
      </c>
      <c r="Z26" s="234">
        <v>0.184</v>
      </c>
      <c r="AA26" s="232">
        <v>201</v>
      </c>
      <c r="AB26" s="232">
        <v>79</v>
      </c>
      <c r="AC26" s="232" t="s">
        <v>566</v>
      </c>
      <c r="AD26" s="232" t="s">
        <v>566</v>
      </c>
      <c r="AE26" s="430">
        <v>0</v>
      </c>
    </row>
    <row r="27" spans="1:31" x14ac:dyDescent="0.25">
      <c r="A27" s="108">
        <v>5426</v>
      </c>
      <c r="B27" s="226" t="s">
        <v>122</v>
      </c>
      <c r="C27" s="368">
        <v>493</v>
      </c>
      <c r="D27" s="371">
        <v>62</v>
      </c>
      <c r="E27" s="235">
        <v>1.2</v>
      </c>
      <c r="F27" s="231">
        <f>3327490.9-800000</f>
        <v>2527490.9</v>
      </c>
      <c r="G27" s="232">
        <f>1268184.15-200000</f>
        <v>1068184.1499999999</v>
      </c>
      <c r="H27" s="232">
        <v>47981.85</v>
      </c>
      <c r="I27" s="232">
        <v>3065.5</v>
      </c>
      <c r="J27" s="232">
        <v>764425.1</v>
      </c>
      <c r="K27" s="232">
        <v>1299.8900000000001</v>
      </c>
      <c r="L27" s="232">
        <v>-2010.6</v>
      </c>
      <c r="M27" s="232"/>
      <c r="N27" s="425">
        <f>Paramètres!$K$20/(Données!$H$302+Données!$I$302)*(Données!H27+Données!I27)</f>
        <v>4853.4369710104411</v>
      </c>
      <c r="O27" s="232">
        <v>354391.5</v>
      </c>
      <c r="P27" s="232">
        <v>72292.72</v>
      </c>
      <c r="Q27" s="232">
        <v>6169.3</v>
      </c>
      <c r="R27" s="232">
        <v>-12503.2</v>
      </c>
      <c r="S27" s="232">
        <v>161661</v>
      </c>
      <c r="T27" s="232">
        <v>1821.4</v>
      </c>
      <c r="U27" s="232">
        <v>69916.399999999994</v>
      </c>
      <c r="V27" s="232">
        <v>18111.75</v>
      </c>
      <c r="W27" s="233">
        <f t="shared" si="0"/>
        <v>5087151.0969710108</v>
      </c>
      <c r="X27" s="232">
        <v>176</v>
      </c>
      <c r="Y27" s="232">
        <v>0</v>
      </c>
      <c r="Z27" s="234">
        <v>0.15</v>
      </c>
      <c r="AA27" s="232">
        <v>25</v>
      </c>
      <c r="AB27" s="232">
        <v>14</v>
      </c>
      <c r="AC27" s="232" t="s">
        <v>566</v>
      </c>
      <c r="AD27" s="232" t="s">
        <v>566</v>
      </c>
      <c r="AE27" s="430">
        <v>0</v>
      </c>
    </row>
    <row r="28" spans="1:31" x14ac:dyDescent="0.25">
      <c r="A28" s="108">
        <v>5427</v>
      </c>
      <c r="B28" s="226" t="s">
        <v>123</v>
      </c>
      <c r="C28" s="368">
        <v>906</v>
      </c>
      <c r="D28" s="371">
        <v>64</v>
      </c>
      <c r="E28" s="235">
        <v>1.3</v>
      </c>
      <c r="F28" s="231">
        <v>3245023.1</v>
      </c>
      <c r="G28" s="232">
        <v>974291.45</v>
      </c>
      <c r="H28" s="232">
        <v>4662.7</v>
      </c>
      <c r="I28" s="232">
        <v>12396.1</v>
      </c>
      <c r="J28" s="232">
        <v>627209</v>
      </c>
      <c r="K28" s="232">
        <v>0</v>
      </c>
      <c r="L28" s="232">
        <v>-7170.55</v>
      </c>
      <c r="M28" s="232"/>
      <c r="N28" s="425">
        <f>Paramètres!$K$20/(Données!$H$302+Données!$I$302)*(Données!H28+Données!I28)</f>
        <v>1621.9022260915192</v>
      </c>
      <c r="O28" s="232">
        <v>508712.45</v>
      </c>
      <c r="P28" s="232">
        <v>10185.32</v>
      </c>
      <c r="Q28" s="232">
        <v>14678.05</v>
      </c>
      <c r="R28" s="232">
        <v>-26152.5</v>
      </c>
      <c r="S28" s="232">
        <v>222675.4</v>
      </c>
      <c r="T28" s="232">
        <v>66500</v>
      </c>
      <c r="U28" s="232">
        <v>82269.05</v>
      </c>
      <c r="V28" s="232">
        <v>16792.05</v>
      </c>
      <c r="W28" s="233">
        <f t="shared" si="0"/>
        <v>5753693.5222260915</v>
      </c>
      <c r="X28" s="232">
        <v>267</v>
      </c>
      <c r="Y28" s="232">
        <v>0</v>
      </c>
      <c r="Z28" s="234">
        <v>7.1999999999999995E-2</v>
      </c>
      <c r="AA28" s="232">
        <v>92</v>
      </c>
      <c r="AB28" s="232">
        <v>54</v>
      </c>
      <c r="AC28" s="232" t="s">
        <v>566</v>
      </c>
      <c r="AD28" s="232" t="s">
        <v>566</v>
      </c>
      <c r="AE28" s="430">
        <v>0</v>
      </c>
    </row>
    <row r="29" spans="1:31" x14ac:dyDescent="0.25">
      <c r="A29" s="108">
        <v>5428</v>
      </c>
      <c r="B29" s="226" t="s">
        <v>124</v>
      </c>
      <c r="C29" s="368">
        <v>3343</v>
      </c>
      <c r="D29" s="371">
        <v>73</v>
      </c>
      <c r="E29" s="235">
        <v>1.2</v>
      </c>
      <c r="F29" s="231">
        <v>6072352.1547191562</v>
      </c>
      <c r="G29" s="231">
        <v>693318.90689448058</v>
      </c>
      <c r="H29" s="231">
        <v>130745.57741071429</v>
      </c>
      <c r="I29" s="231">
        <v>35655.484058441558</v>
      </c>
      <c r="J29" s="231">
        <v>19512.094155844155</v>
      </c>
      <c r="K29" s="231">
        <v>15011.78</v>
      </c>
      <c r="L29" s="231">
        <v>-99261.888407467544</v>
      </c>
      <c r="M29" s="231"/>
      <c r="N29" s="425">
        <f>Paramètres!$K$20/(Données!$H$302+Données!$I$302)*(Données!H29+Données!I29)</f>
        <v>15820.940043896149</v>
      </c>
      <c r="O29" s="232">
        <v>764741.46</v>
      </c>
      <c r="P29" s="232">
        <v>254071.53</v>
      </c>
      <c r="Q29" s="232">
        <v>29849.55</v>
      </c>
      <c r="R29" s="232">
        <v>-1908.31</v>
      </c>
      <c r="S29" s="232">
        <v>418993.25</v>
      </c>
      <c r="T29" s="232">
        <v>455796.7</v>
      </c>
      <c r="U29" s="232">
        <v>308449.05</v>
      </c>
      <c r="V29" s="232">
        <v>194209.05</v>
      </c>
      <c r="W29" s="233">
        <f t="shared" si="0"/>
        <v>9307357.3288750686</v>
      </c>
      <c r="X29" s="232">
        <v>2550</v>
      </c>
      <c r="Y29" s="232">
        <v>1055</v>
      </c>
      <c r="Z29" s="234">
        <v>0.14799999999999999</v>
      </c>
      <c r="AA29" s="232">
        <v>460</v>
      </c>
      <c r="AB29" s="232">
        <v>141</v>
      </c>
      <c r="AC29" s="232" t="s">
        <v>566</v>
      </c>
      <c r="AD29" s="232" t="s">
        <v>566</v>
      </c>
      <c r="AE29" s="430">
        <v>0</v>
      </c>
    </row>
    <row r="30" spans="1:31" x14ac:dyDescent="0.25">
      <c r="A30" s="108">
        <v>5429</v>
      </c>
      <c r="B30" s="226" t="s">
        <v>125</v>
      </c>
      <c r="C30" s="368">
        <v>558</v>
      </c>
      <c r="D30" s="371">
        <v>77.5</v>
      </c>
      <c r="E30" s="235">
        <v>1</v>
      </c>
      <c r="F30" s="231">
        <v>1145854.8</v>
      </c>
      <c r="G30" s="232">
        <v>169745.69</v>
      </c>
      <c r="H30" s="232">
        <v>6554.55</v>
      </c>
      <c r="I30" s="232">
        <v>3668</v>
      </c>
      <c r="J30" s="232">
        <v>0</v>
      </c>
      <c r="K30" s="232">
        <v>5705.34</v>
      </c>
      <c r="L30" s="232">
        <v>-30187.22</v>
      </c>
      <c r="M30" s="232"/>
      <c r="N30" s="425">
        <f>Paramètres!$K$20/(Données!$H$302+Données!$I$302)*(Données!H30+Données!I30)</f>
        <v>971.93100343118272</v>
      </c>
      <c r="O30" s="232">
        <v>117700.8</v>
      </c>
      <c r="P30" s="232">
        <v>25081.84</v>
      </c>
      <c r="Q30" s="232">
        <v>1196.5</v>
      </c>
      <c r="R30" s="232">
        <v>0</v>
      </c>
      <c r="S30" s="232">
        <v>83985</v>
      </c>
      <c r="T30" s="232">
        <v>0</v>
      </c>
      <c r="U30" s="232">
        <v>72499.850000000006</v>
      </c>
      <c r="V30" s="232">
        <v>12428.5</v>
      </c>
      <c r="W30" s="233">
        <f t="shared" si="0"/>
        <v>1615205.5810034315</v>
      </c>
      <c r="X30" s="232">
        <v>945</v>
      </c>
      <c r="Y30" s="232">
        <v>558</v>
      </c>
      <c r="Z30" s="234">
        <v>0.14599999999999999</v>
      </c>
      <c r="AA30" s="232">
        <v>51</v>
      </c>
      <c r="AB30" s="232">
        <v>37</v>
      </c>
      <c r="AC30" s="232" t="s">
        <v>566</v>
      </c>
      <c r="AD30" s="232" t="s">
        <v>566</v>
      </c>
      <c r="AE30" s="430">
        <v>0</v>
      </c>
    </row>
    <row r="31" spans="1:31" x14ac:dyDescent="0.25">
      <c r="A31" s="108">
        <v>5430</v>
      </c>
      <c r="B31" s="226" t="s">
        <v>126</v>
      </c>
      <c r="C31" s="368">
        <v>492</v>
      </c>
      <c r="D31" s="371">
        <v>77.5</v>
      </c>
      <c r="E31" s="235">
        <v>1</v>
      </c>
      <c r="F31" s="231">
        <v>1026629.84</v>
      </c>
      <c r="G31" s="232">
        <v>208596.19</v>
      </c>
      <c r="H31" s="232">
        <v>10712.3</v>
      </c>
      <c r="I31" s="232">
        <v>882.2</v>
      </c>
      <c r="J31" s="232">
        <v>0</v>
      </c>
      <c r="K31" s="232">
        <v>0</v>
      </c>
      <c r="L31" s="232">
        <v>-2404.4</v>
      </c>
      <c r="M31" s="232"/>
      <c r="N31" s="425">
        <f>Paramètres!$K$20/(Données!$H$302+Données!$I$302)*(Données!H31+Données!I31)</f>
        <v>1102.3721106067321</v>
      </c>
      <c r="O31" s="232">
        <v>97462.8</v>
      </c>
      <c r="P31" s="232">
        <v>10438</v>
      </c>
      <c r="Q31" s="232">
        <v>1015.5</v>
      </c>
      <c r="R31" s="232">
        <v>-451.6</v>
      </c>
      <c r="S31" s="232">
        <v>18900.150000000001</v>
      </c>
      <c r="T31" s="232">
        <v>0</v>
      </c>
      <c r="U31" s="232">
        <v>28414.5</v>
      </c>
      <c r="V31" s="232">
        <v>13140.85</v>
      </c>
      <c r="W31" s="233">
        <f t="shared" si="0"/>
        <v>1414438.7021106067</v>
      </c>
      <c r="X31" s="232">
        <v>1193</v>
      </c>
      <c r="Y31" s="232">
        <v>492</v>
      </c>
      <c r="Z31" s="234">
        <v>0.157</v>
      </c>
      <c r="AA31" s="232">
        <v>53</v>
      </c>
      <c r="AB31" s="232">
        <v>33</v>
      </c>
      <c r="AC31" s="232" t="s">
        <v>566</v>
      </c>
      <c r="AD31" s="232" t="s">
        <v>566</v>
      </c>
      <c r="AE31" s="430">
        <v>0</v>
      </c>
    </row>
    <row r="32" spans="1:31" x14ac:dyDescent="0.25">
      <c r="A32" s="108">
        <v>5431</v>
      </c>
      <c r="B32" s="226" t="s">
        <v>127</v>
      </c>
      <c r="C32" s="368">
        <v>320</v>
      </c>
      <c r="D32" s="371">
        <v>74</v>
      </c>
      <c r="E32" s="235">
        <v>1</v>
      </c>
      <c r="F32" s="231">
        <f>858797.9-200000</f>
        <v>658797.9</v>
      </c>
      <c r="G32" s="232">
        <f>141622.6-40000</f>
        <v>101622.6</v>
      </c>
      <c r="H32" s="232">
        <v>6323.55</v>
      </c>
      <c r="I32" s="232">
        <v>1708.4</v>
      </c>
      <c r="J32" s="232">
        <v>0</v>
      </c>
      <c r="K32" s="232">
        <v>0</v>
      </c>
      <c r="L32" s="232">
        <v>-12190.79</v>
      </c>
      <c r="M32" s="232"/>
      <c r="N32" s="425">
        <f>Paramètres!$K$20/(Données!$H$302+Données!$I$302)*(Données!H32+Données!I32)</f>
        <v>763.65498070531225</v>
      </c>
      <c r="O32" s="232">
        <v>59423.7</v>
      </c>
      <c r="P32" s="232">
        <v>13993.58</v>
      </c>
      <c r="Q32" s="232">
        <v>1133.5</v>
      </c>
      <c r="R32" s="232">
        <v>-816.05</v>
      </c>
      <c r="S32" s="232">
        <v>36400.949999999997</v>
      </c>
      <c r="T32" s="232">
        <v>0</v>
      </c>
      <c r="U32" s="232">
        <v>28952.35</v>
      </c>
      <c r="V32" s="232">
        <v>723.65</v>
      </c>
      <c r="W32" s="233">
        <f t="shared" si="0"/>
        <v>896836.9949807052</v>
      </c>
      <c r="X32" s="232">
        <v>1099</v>
      </c>
      <c r="Y32" s="232">
        <v>283</v>
      </c>
      <c r="Z32" s="234">
        <v>0.20799999999999999</v>
      </c>
      <c r="AA32" s="232">
        <v>20</v>
      </c>
      <c r="AB32" s="232">
        <v>20</v>
      </c>
      <c r="AC32" s="232" t="s">
        <v>566</v>
      </c>
      <c r="AD32" s="232" t="s">
        <v>566</v>
      </c>
      <c r="AE32" s="430">
        <v>0</v>
      </c>
    </row>
    <row r="33" spans="1:31" x14ac:dyDescent="0.25">
      <c r="A33" s="108">
        <v>5434</v>
      </c>
      <c r="B33" s="226" t="s">
        <v>128</v>
      </c>
      <c r="C33" s="368">
        <v>1082</v>
      </c>
      <c r="D33" s="371">
        <v>69.5</v>
      </c>
      <c r="E33" s="235">
        <v>1.2</v>
      </c>
      <c r="F33" s="231">
        <f>3369206.36-870000</f>
        <v>2499206.36</v>
      </c>
      <c r="G33" s="232">
        <v>388320.28</v>
      </c>
      <c r="H33" s="232">
        <v>14539.75</v>
      </c>
      <c r="I33" s="232">
        <v>6004.4</v>
      </c>
      <c r="J33" s="232">
        <v>0</v>
      </c>
      <c r="K33" s="232">
        <v>70571.08</v>
      </c>
      <c r="L33" s="232">
        <v>-70803.95</v>
      </c>
      <c r="M33" s="232"/>
      <c r="N33" s="425">
        <f>Paramètres!$K$20/(Données!$H$302+Données!$I$302)*(Données!H33+Données!I33)</f>
        <v>1953.2793993808527</v>
      </c>
      <c r="O33" s="232">
        <v>305651.34999999998</v>
      </c>
      <c r="P33" s="232">
        <v>64853.71</v>
      </c>
      <c r="Q33" s="232">
        <v>4799.2</v>
      </c>
      <c r="R33" s="232">
        <v>-2514</v>
      </c>
      <c r="S33" s="232">
        <v>101871</v>
      </c>
      <c r="T33" s="232">
        <v>2037.2</v>
      </c>
      <c r="U33" s="232">
        <v>127354.45</v>
      </c>
      <c r="V33" s="232">
        <v>9697.25</v>
      </c>
      <c r="W33" s="233">
        <f t="shared" si="0"/>
        <v>3523541.3593993811</v>
      </c>
      <c r="X33" s="232">
        <v>1228</v>
      </c>
      <c r="Y33" s="232">
        <v>1082</v>
      </c>
      <c r="Z33" s="234">
        <v>0.24399999999999999</v>
      </c>
      <c r="AA33" s="232">
        <v>124</v>
      </c>
      <c r="AB33" s="232">
        <v>83</v>
      </c>
      <c r="AC33" s="232" t="s">
        <v>566</v>
      </c>
      <c r="AD33" s="232" t="s">
        <v>566</v>
      </c>
      <c r="AE33" s="430">
        <v>0</v>
      </c>
    </row>
    <row r="34" spans="1:31" x14ac:dyDescent="0.25">
      <c r="A34" s="108">
        <v>5435</v>
      </c>
      <c r="B34" s="226" t="s">
        <v>129</v>
      </c>
      <c r="C34" s="368">
        <v>708</v>
      </c>
      <c r="D34" s="371">
        <v>69</v>
      </c>
      <c r="E34" s="235">
        <v>1</v>
      </c>
      <c r="F34" s="231">
        <v>1337091.78</v>
      </c>
      <c r="G34" s="232">
        <v>161115.14000000001</v>
      </c>
      <c r="H34" s="232">
        <v>10714.35</v>
      </c>
      <c r="I34" s="232">
        <v>908</v>
      </c>
      <c r="J34" s="232">
        <v>0</v>
      </c>
      <c r="K34" s="232">
        <v>545.47</v>
      </c>
      <c r="L34" s="232">
        <v>-17435.849999999999</v>
      </c>
      <c r="M34" s="232"/>
      <c r="N34" s="425">
        <f>Paramètres!$K$20/(Données!$H$302+Données!$I$302)*(Données!H34+Données!I34)</f>
        <v>1105.0200094622583</v>
      </c>
      <c r="O34" s="232">
        <v>143466.1</v>
      </c>
      <c r="P34" s="232">
        <v>41867.06</v>
      </c>
      <c r="Q34" s="232">
        <v>0</v>
      </c>
      <c r="R34" s="232">
        <v>-780.4</v>
      </c>
      <c r="S34" s="232">
        <v>25772.9</v>
      </c>
      <c r="T34" s="232">
        <v>0</v>
      </c>
      <c r="U34" s="232">
        <v>53579.75</v>
      </c>
      <c r="V34" s="232">
        <v>3060.15</v>
      </c>
      <c r="W34" s="233">
        <f t="shared" si="0"/>
        <v>1761009.4700094622</v>
      </c>
      <c r="X34" s="232">
        <v>805</v>
      </c>
      <c r="Y34" s="232">
        <v>0</v>
      </c>
      <c r="Z34" s="234">
        <v>0.13300000000000001</v>
      </c>
      <c r="AA34" s="232">
        <v>83</v>
      </c>
      <c r="AB34" s="232">
        <v>47</v>
      </c>
      <c r="AC34" s="232" t="s">
        <v>566</v>
      </c>
      <c r="AD34" s="232" t="s">
        <v>566</v>
      </c>
      <c r="AE34" s="430">
        <v>0</v>
      </c>
    </row>
    <row r="35" spans="1:31" x14ac:dyDescent="0.25">
      <c r="A35" s="108">
        <v>5451</v>
      </c>
      <c r="B35" s="226" t="s">
        <v>132</v>
      </c>
      <c r="C35" s="368">
        <v>4953</v>
      </c>
      <c r="D35" s="371">
        <v>65</v>
      </c>
      <c r="E35" s="235">
        <v>1.5</v>
      </c>
      <c r="F35" s="231">
        <v>5385007.2199999997</v>
      </c>
      <c r="G35" s="232">
        <v>646543.44999999995</v>
      </c>
      <c r="H35" s="232">
        <v>1484259.1</v>
      </c>
      <c r="I35" s="232">
        <v>57865</v>
      </c>
      <c r="J35" s="232">
        <v>0</v>
      </c>
      <c r="K35" s="232">
        <v>65596.679999999993</v>
      </c>
      <c r="L35" s="232">
        <v>-264531.25</v>
      </c>
      <c r="M35" s="232"/>
      <c r="N35" s="425">
        <f>Paramètres!$K$20/(Données!$H$302+Données!$I$302)*(Données!H35+Données!I35)</f>
        <v>146620.77700069061</v>
      </c>
      <c r="O35" s="232">
        <v>1576843.5</v>
      </c>
      <c r="P35" s="232">
        <v>501492.21</v>
      </c>
      <c r="Q35" s="232">
        <v>144807.95000000001</v>
      </c>
      <c r="R35" s="232">
        <v>-2224.75</v>
      </c>
      <c r="S35" s="232">
        <v>446524.9</v>
      </c>
      <c r="T35" s="232">
        <v>94100.6</v>
      </c>
      <c r="U35" s="232">
        <v>163163.95000000001</v>
      </c>
      <c r="V35" s="232">
        <v>573118.55000000005</v>
      </c>
      <c r="W35" s="233">
        <f t="shared" si="0"/>
        <v>11019187.887000691</v>
      </c>
      <c r="X35" s="232">
        <v>1922</v>
      </c>
      <c r="Y35" s="232">
        <v>0</v>
      </c>
      <c r="Z35" s="234">
        <v>5.1999999999999998E-2</v>
      </c>
      <c r="AA35" s="232">
        <v>677</v>
      </c>
      <c r="AB35" s="232">
        <v>105</v>
      </c>
      <c r="AC35" s="232">
        <v>357716</v>
      </c>
      <c r="AD35" s="232">
        <v>0</v>
      </c>
      <c r="AE35" s="430">
        <v>0</v>
      </c>
    </row>
    <row r="36" spans="1:31" x14ac:dyDescent="0.25">
      <c r="A36" s="108">
        <v>5456</v>
      </c>
      <c r="B36" s="226" t="s">
        <v>133</v>
      </c>
      <c r="C36" s="368">
        <v>1915</v>
      </c>
      <c r="D36" s="371">
        <v>59</v>
      </c>
      <c r="E36" s="235">
        <v>1.5</v>
      </c>
      <c r="F36" s="231">
        <v>3388005.39</v>
      </c>
      <c r="G36" s="232">
        <v>341212.43</v>
      </c>
      <c r="H36" s="232">
        <v>16326.55</v>
      </c>
      <c r="I36" s="232">
        <v>13344.75</v>
      </c>
      <c r="J36" s="232">
        <v>0</v>
      </c>
      <c r="K36" s="232">
        <v>357.9</v>
      </c>
      <c r="L36" s="232">
        <v>-7709.78</v>
      </c>
      <c r="M36" s="232"/>
      <c r="N36" s="425">
        <f>Paramètres!$K$20/(Données!$H$302+Données!$I$302)*(Données!H36+Données!I36)</f>
        <v>2821.0628837332811</v>
      </c>
      <c r="O36" s="232">
        <v>599052.94999999995</v>
      </c>
      <c r="P36" s="232">
        <v>29185.9</v>
      </c>
      <c r="Q36" s="232">
        <v>4193.45</v>
      </c>
      <c r="R36" s="232">
        <v>-1000</v>
      </c>
      <c r="S36" s="232">
        <v>208166</v>
      </c>
      <c r="T36" s="232">
        <v>37220.9</v>
      </c>
      <c r="U36" s="232">
        <v>224374.6</v>
      </c>
      <c r="V36" s="232">
        <v>1398</v>
      </c>
      <c r="W36" s="233">
        <f t="shared" si="0"/>
        <v>4856950.1028837338</v>
      </c>
      <c r="X36" s="232">
        <v>1451</v>
      </c>
      <c r="Y36" s="232">
        <v>0</v>
      </c>
      <c r="Z36" s="234">
        <v>2.8000000000000001E-2</v>
      </c>
      <c r="AA36" s="232">
        <v>222</v>
      </c>
      <c r="AB36" s="232">
        <v>113</v>
      </c>
      <c r="AC36" s="232" t="s">
        <v>566</v>
      </c>
      <c r="AD36" s="232" t="s">
        <v>566</v>
      </c>
      <c r="AE36" s="430">
        <v>0</v>
      </c>
    </row>
    <row r="37" spans="1:31" x14ac:dyDescent="0.25">
      <c r="A37" s="108">
        <v>5458</v>
      </c>
      <c r="B37" s="226" t="s">
        <v>134</v>
      </c>
      <c r="C37" s="368">
        <v>902</v>
      </c>
      <c r="D37" s="371">
        <v>65</v>
      </c>
      <c r="E37" s="235">
        <v>1.5</v>
      </c>
      <c r="F37" s="231">
        <v>1474155.8</v>
      </c>
      <c r="G37" s="232">
        <v>302982.78999999998</v>
      </c>
      <c r="H37" s="232">
        <v>16288.75</v>
      </c>
      <c r="I37" s="232">
        <v>4341.1000000000004</v>
      </c>
      <c r="J37" s="232">
        <v>0</v>
      </c>
      <c r="K37" s="232">
        <v>859.57</v>
      </c>
      <c r="L37" s="232">
        <v>-22290.95</v>
      </c>
      <c r="M37" s="232"/>
      <c r="N37" s="425">
        <f>Paramètres!$K$20/(Données!$H$302+Données!$I$302)*(Données!H37+Données!I37)</f>
        <v>1961.4275118375342</v>
      </c>
      <c r="O37" s="232">
        <v>299653.09999999998</v>
      </c>
      <c r="P37" s="232">
        <v>74351.839999999997</v>
      </c>
      <c r="Q37" s="232">
        <v>13446.75</v>
      </c>
      <c r="R37" s="232">
        <v>-1120.55</v>
      </c>
      <c r="S37" s="232">
        <v>80096.5</v>
      </c>
      <c r="T37" s="232">
        <v>80255.399999999994</v>
      </c>
      <c r="U37" s="232">
        <v>68490.7</v>
      </c>
      <c r="V37" s="232">
        <v>2522.9</v>
      </c>
      <c r="W37" s="233">
        <f t="shared" si="0"/>
        <v>2395995.127511838</v>
      </c>
      <c r="X37" s="232">
        <v>347</v>
      </c>
      <c r="Y37" s="232">
        <v>0</v>
      </c>
      <c r="Z37" s="234">
        <v>3.1E-2</v>
      </c>
      <c r="AA37" s="232">
        <v>88</v>
      </c>
      <c r="AB37" s="232">
        <v>55</v>
      </c>
      <c r="AC37" s="232" t="s">
        <v>566</v>
      </c>
      <c r="AD37" s="232" t="s">
        <v>566</v>
      </c>
      <c r="AE37" s="430">
        <v>0</v>
      </c>
    </row>
    <row r="38" spans="1:31" x14ac:dyDescent="0.25">
      <c r="A38" s="108">
        <v>5464</v>
      </c>
      <c r="B38" s="226" t="s">
        <v>135</v>
      </c>
      <c r="C38" s="368">
        <v>3698</v>
      </c>
      <c r="D38" s="371">
        <v>67</v>
      </c>
      <c r="E38" s="235">
        <v>1.5</v>
      </c>
      <c r="F38" s="231">
        <v>6321246.2599999998</v>
      </c>
      <c r="G38" s="232">
        <v>1210376.94</v>
      </c>
      <c r="H38" s="232">
        <v>112243.45</v>
      </c>
      <c r="I38" s="232">
        <v>24186.3</v>
      </c>
      <c r="J38" s="232">
        <v>34844.5</v>
      </c>
      <c r="K38" s="232">
        <v>37982.31</v>
      </c>
      <c r="L38" s="232">
        <v>-140950.49</v>
      </c>
      <c r="M38" s="232"/>
      <c r="N38" s="425">
        <f>Paramètres!$K$20/(Données!$H$302+Données!$I$302)*(Données!H38+Données!I38)</f>
        <v>12971.352922251826</v>
      </c>
      <c r="O38" s="232">
        <v>1232159.8500000001</v>
      </c>
      <c r="P38" s="232">
        <v>139210.76999999999</v>
      </c>
      <c r="Q38" s="232">
        <v>43979.8</v>
      </c>
      <c r="R38" s="232">
        <v>-3960.85</v>
      </c>
      <c r="S38" s="232">
        <v>349607.7</v>
      </c>
      <c r="T38" s="232">
        <v>309947.90000000002</v>
      </c>
      <c r="U38" s="232">
        <v>203242.4</v>
      </c>
      <c r="V38" s="232">
        <v>3970.3</v>
      </c>
      <c r="W38" s="233">
        <f t="shared" si="0"/>
        <v>9891058.492922252</v>
      </c>
      <c r="X38" s="232">
        <v>2027</v>
      </c>
      <c r="Y38" s="232">
        <v>0</v>
      </c>
      <c r="Z38" s="234">
        <v>6.2E-2</v>
      </c>
      <c r="AA38" s="232">
        <v>461</v>
      </c>
      <c r="AB38" s="232">
        <v>283</v>
      </c>
      <c r="AC38" s="232" t="s">
        <v>566</v>
      </c>
      <c r="AD38" s="232" t="s">
        <v>566</v>
      </c>
      <c r="AE38" s="430">
        <v>0</v>
      </c>
    </row>
    <row r="39" spans="1:31" x14ac:dyDescent="0.25">
      <c r="A39" s="108">
        <v>5471</v>
      </c>
      <c r="B39" s="226" t="s">
        <v>136</v>
      </c>
      <c r="C39" s="368">
        <v>652</v>
      </c>
      <c r="D39" s="371">
        <v>70</v>
      </c>
      <c r="E39" s="235">
        <v>0.9</v>
      </c>
      <c r="F39" s="231">
        <v>1396590.25</v>
      </c>
      <c r="G39" s="232">
        <v>156741.21</v>
      </c>
      <c r="H39" s="232">
        <v>43088.95</v>
      </c>
      <c r="I39" s="232">
        <v>2673.45</v>
      </c>
      <c r="J39" s="232">
        <v>0</v>
      </c>
      <c r="K39" s="232">
        <v>10231.5</v>
      </c>
      <c r="L39" s="232">
        <v>-23453.360000000001</v>
      </c>
      <c r="M39" s="232"/>
      <c r="N39" s="425">
        <f>Paramètres!$K$20/(Données!$H$302+Données!$I$302)*(Données!H39+Données!I39)</f>
        <v>4350.9589438466091</v>
      </c>
      <c r="O39" s="232">
        <v>128473.8</v>
      </c>
      <c r="P39" s="232">
        <v>48953.85</v>
      </c>
      <c r="Q39" s="232">
        <v>5820.25</v>
      </c>
      <c r="R39" s="232">
        <v>-680.05</v>
      </c>
      <c r="S39" s="232">
        <v>68673</v>
      </c>
      <c r="T39" s="232">
        <v>0</v>
      </c>
      <c r="U39" s="232">
        <v>43356</v>
      </c>
      <c r="V39" s="232">
        <v>16883.150000000001</v>
      </c>
      <c r="W39" s="233">
        <f t="shared" si="0"/>
        <v>1901702.9589438464</v>
      </c>
      <c r="X39" s="232">
        <v>369</v>
      </c>
      <c r="Y39" s="232">
        <v>0</v>
      </c>
      <c r="Z39" s="234">
        <v>4.1000000000000002E-2</v>
      </c>
      <c r="AA39" s="232">
        <v>86</v>
      </c>
      <c r="AB39" s="232">
        <v>64</v>
      </c>
      <c r="AC39" s="232" t="s">
        <v>566</v>
      </c>
      <c r="AD39" s="232" t="s">
        <v>566</v>
      </c>
      <c r="AE39" s="430">
        <v>0</v>
      </c>
    </row>
    <row r="40" spans="1:31" x14ac:dyDescent="0.25">
      <c r="A40" s="108">
        <v>5472</v>
      </c>
      <c r="B40" s="226" t="s">
        <v>137</v>
      </c>
      <c r="C40" s="368">
        <v>612</v>
      </c>
      <c r="D40" s="371">
        <v>65</v>
      </c>
      <c r="E40" s="235">
        <v>1</v>
      </c>
      <c r="F40" s="231">
        <v>1223893.49</v>
      </c>
      <c r="G40" s="232">
        <v>173088.8</v>
      </c>
      <c r="H40" s="232">
        <v>6227.55</v>
      </c>
      <c r="I40" s="232">
        <v>4621.7</v>
      </c>
      <c r="J40" s="232">
        <v>0</v>
      </c>
      <c r="K40" s="232">
        <v>24.69</v>
      </c>
      <c r="L40" s="232">
        <v>-14482.28</v>
      </c>
      <c r="M40" s="232"/>
      <c r="N40" s="425">
        <f>Paramètres!$K$20/(Données!$H$302+Données!$I$302)*(Données!H40+Données!I40)</f>
        <v>1031.5158584673843</v>
      </c>
      <c r="O40" s="232">
        <v>127589.4</v>
      </c>
      <c r="P40" s="232">
        <v>23579.25</v>
      </c>
      <c r="Q40" s="232">
        <v>948.45</v>
      </c>
      <c r="R40" s="232">
        <v>-901.4</v>
      </c>
      <c r="S40" s="232">
        <v>371787.65</v>
      </c>
      <c r="T40" s="232">
        <v>0</v>
      </c>
      <c r="U40" s="232">
        <v>22654.25</v>
      </c>
      <c r="V40" s="232">
        <v>0</v>
      </c>
      <c r="W40" s="233">
        <f t="shared" si="0"/>
        <v>1940063.0658584675</v>
      </c>
      <c r="X40" s="232">
        <v>386</v>
      </c>
      <c r="Y40" s="232">
        <v>0</v>
      </c>
      <c r="Z40" s="234">
        <v>1.6E-2</v>
      </c>
      <c r="AA40" s="232">
        <v>62</v>
      </c>
      <c r="AB40" s="232">
        <v>35</v>
      </c>
      <c r="AC40" s="232" t="s">
        <v>566</v>
      </c>
      <c r="AD40" s="232" t="s">
        <v>566</v>
      </c>
      <c r="AE40" s="430">
        <v>0</v>
      </c>
    </row>
    <row r="41" spans="1:31" x14ac:dyDescent="0.25">
      <c r="A41" s="108">
        <v>5473</v>
      </c>
      <c r="B41" s="226" t="s">
        <v>138</v>
      </c>
      <c r="C41" s="368">
        <v>1016</v>
      </c>
      <c r="D41" s="371">
        <v>64</v>
      </c>
      <c r="E41" s="235">
        <v>1</v>
      </c>
      <c r="F41" s="231">
        <v>1934789.64</v>
      </c>
      <c r="G41" s="232">
        <v>207689.97</v>
      </c>
      <c r="H41" s="232">
        <v>18430.5</v>
      </c>
      <c r="I41" s="232">
        <v>2272.1</v>
      </c>
      <c r="J41" s="232">
        <v>0</v>
      </c>
      <c r="K41" s="232">
        <v>1794.22</v>
      </c>
      <c r="L41" s="232">
        <v>-7505.27</v>
      </c>
      <c r="M41" s="232"/>
      <c r="N41" s="425">
        <f>Paramètres!$K$20/(Données!$H$302+Données!$I$302)*(Données!H41+Données!I41)</f>
        <v>1968.3443750956858</v>
      </c>
      <c r="O41" s="232">
        <v>208240.5</v>
      </c>
      <c r="P41" s="232">
        <v>19914.59</v>
      </c>
      <c r="Q41" s="232">
        <v>5169.75</v>
      </c>
      <c r="R41" s="232">
        <v>-229.65</v>
      </c>
      <c r="S41" s="232">
        <v>186710</v>
      </c>
      <c r="T41" s="232">
        <v>0</v>
      </c>
      <c r="U41" s="232">
        <v>77732.100000000006</v>
      </c>
      <c r="V41" s="232">
        <v>18736.3</v>
      </c>
      <c r="W41" s="233">
        <f t="shared" si="0"/>
        <v>2675713.0943750958</v>
      </c>
      <c r="X41" s="232">
        <v>318</v>
      </c>
      <c r="Y41" s="232">
        <v>0</v>
      </c>
      <c r="Z41" s="234">
        <v>4.0000000000000001E-3</v>
      </c>
      <c r="AA41" s="232">
        <v>158</v>
      </c>
      <c r="AB41" s="232">
        <v>88</v>
      </c>
      <c r="AC41" s="232" t="s">
        <v>566</v>
      </c>
      <c r="AD41" s="232" t="s">
        <v>566</v>
      </c>
      <c r="AE41" s="430">
        <v>0</v>
      </c>
    </row>
    <row r="42" spans="1:31" x14ac:dyDescent="0.25">
      <c r="A42" s="108">
        <v>5474</v>
      </c>
      <c r="B42" s="226" t="s">
        <v>139</v>
      </c>
      <c r="C42" s="368">
        <v>421</v>
      </c>
      <c r="D42" s="371">
        <v>76</v>
      </c>
      <c r="E42" s="235">
        <v>1.2</v>
      </c>
      <c r="F42" s="231">
        <v>786129.75</v>
      </c>
      <c r="G42" s="232">
        <v>129962.1</v>
      </c>
      <c r="H42" s="232">
        <v>8281.4</v>
      </c>
      <c r="I42" s="232">
        <v>3582</v>
      </c>
      <c r="J42" s="232">
        <v>0</v>
      </c>
      <c r="K42" s="232">
        <v>7241.04</v>
      </c>
      <c r="L42" s="232">
        <v>-14899.31</v>
      </c>
      <c r="M42" s="232"/>
      <c r="N42" s="425">
        <f>Paramètres!$K$20/(Données!$H$302+Données!$I$302)*(Données!H42+Données!I42)</f>
        <v>1127.9383584433917</v>
      </c>
      <c r="O42" s="232">
        <v>98710.25</v>
      </c>
      <c r="P42" s="232">
        <v>10381.719999999999</v>
      </c>
      <c r="Q42" s="232">
        <v>804.45</v>
      </c>
      <c r="R42" s="232">
        <v>-3.07</v>
      </c>
      <c r="S42" s="232">
        <v>25433.7</v>
      </c>
      <c r="T42" s="232">
        <v>0</v>
      </c>
      <c r="U42" s="232">
        <v>19266.650000000001</v>
      </c>
      <c r="V42" s="232">
        <v>5815.6</v>
      </c>
      <c r="W42" s="233">
        <f t="shared" si="0"/>
        <v>1081834.2183584434</v>
      </c>
      <c r="X42" s="232">
        <v>674</v>
      </c>
      <c r="Y42" s="232">
        <v>0</v>
      </c>
      <c r="Z42" s="234">
        <v>4.2000000000000003E-2</v>
      </c>
      <c r="AA42" s="232">
        <v>49</v>
      </c>
      <c r="AB42" s="232">
        <v>49</v>
      </c>
      <c r="AC42" s="232" t="s">
        <v>566</v>
      </c>
      <c r="AD42" s="232" t="s">
        <v>566</v>
      </c>
      <c r="AE42" s="430">
        <v>0</v>
      </c>
    </row>
    <row r="43" spans="1:31" x14ac:dyDescent="0.25">
      <c r="A43" s="108">
        <v>5475</v>
      </c>
      <c r="B43" s="226" t="s">
        <v>140</v>
      </c>
      <c r="C43" s="368">
        <v>160</v>
      </c>
      <c r="D43" s="371">
        <v>77</v>
      </c>
      <c r="E43" s="235">
        <v>1</v>
      </c>
      <c r="F43" s="231">
        <v>284720.07</v>
      </c>
      <c r="G43" s="232">
        <v>49030.68</v>
      </c>
      <c r="H43" s="232">
        <v>1415.5</v>
      </c>
      <c r="I43" s="232">
        <v>768.05</v>
      </c>
      <c r="J43" s="232">
        <v>0</v>
      </c>
      <c r="K43" s="232">
        <v>0</v>
      </c>
      <c r="L43" s="232">
        <v>-140.56</v>
      </c>
      <c r="M43" s="232"/>
      <c r="N43" s="425">
        <f>Paramètres!$K$20/(Données!$H$302+Données!$I$302)*(Données!H43+Données!I43)</f>
        <v>207.60572876064774</v>
      </c>
      <c r="O43" s="232">
        <v>29438.3</v>
      </c>
      <c r="P43" s="232">
        <v>5218.5200000000004</v>
      </c>
      <c r="Q43" s="232">
        <v>0</v>
      </c>
      <c r="R43" s="232">
        <v>0</v>
      </c>
      <c r="S43" s="232">
        <v>0</v>
      </c>
      <c r="T43" s="232">
        <v>0</v>
      </c>
      <c r="U43" s="232">
        <v>0</v>
      </c>
      <c r="V43" s="232">
        <v>1301.75</v>
      </c>
      <c r="W43" s="233">
        <f t="shared" si="0"/>
        <v>371959.91572876065</v>
      </c>
      <c r="X43" s="232">
        <v>264</v>
      </c>
      <c r="Y43" s="232">
        <v>0</v>
      </c>
      <c r="Z43" s="234">
        <v>6.0999999999999999E-2</v>
      </c>
      <c r="AA43" s="232">
        <v>28</v>
      </c>
      <c r="AB43" s="232">
        <v>19</v>
      </c>
      <c r="AC43" s="232" t="s">
        <v>566</v>
      </c>
      <c r="AD43" s="232" t="s">
        <v>566</v>
      </c>
      <c r="AE43" s="430">
        <v>0</v>
      </c>
    </row>
    <row r="44" spans="1:31" x14ac:dyDescent="0.25">
      <c r="A44" s="108">
        <v>5476</v>
      </c>
      <c r="B44" s="226" t="s">
        <v>141</v>
      </c>
      <c r="C44" s="368">
        <v>345</v>
      </c>
      <c r="D44" s="371">
        <v>70</v>
      </c>
      <c r="E44" s="235">
        <v>1</v>
      </c>
      <c r="F44" s="231">
        <v>617941.19999999995</v>
      </c>
      <c r="G44" s="232">
        <v>95044.86</v>
      </c>
      <c r="H44" s="232">
        <v>13878.15</v>
      </c>
      <c r="I44" s="232">
        <v>1222.4000000000001</v>
      </c>
      <c r="J44" s="232">
        <v>0</v>
      </c>
      <c r="K44" s="232">
        <v>261.27999999999997</v>
      </c>
      <c r="L44" s="232">
        <v>-1550.21</v>
      </c>
      <c r="M44" s="232"/>
      <c r="N44" s="425">
        <f>Paramètres!$K$20/(Données!$H$302+Données!$I$302)*(Données!H44+Données!I44)</f>
        <v>1435.7173810705497</v>
      </c>
      <c r="O44" s="232">
        <v>66742.5</v>
      </c>
      <c r="P44" s="232">
        <v>11141.53</v>
      </c>
      <c r="Q44" s="232">
        <v>0</v>
      </c>
      <c r="R44" s="232">
        <v>-180.55</v>
      </c>
      <c r="S44" s="232">
        <v>154348.6</v>
      </c>
      <c r="T44" s="232">
        <v>0</v>
      </c>
      <c r="U44" s="232">
        <v>14813</v>
      </c>
      <c r="V44" s="232">
        <v>0</v>
      </c>
      <c r="W44" s="233">
        <f t="shared" si="0"/>
        <v>975098.47738107061</v>
      </c>
      <c r="X44" s="232">
        <v>381</v>
      </c>
      <c r="Y44" s="232">
        <v>0</v>
      </c>
      <c r="Z44" s="234">
        <v>9.0999999999999998E-2</v>
      </c>
      <c r="AA44" s="232">
        <v>49</v>
      </c>
      <c r="AB44" s="232">
        <v>49</v>
      </c>
      <c r="AC44" s="232" t="s">
        <v>566</v>
      </c>
      <c r="AD44" s="232" t="s">
        <v>566</v>
      </c>
      <c r="AE44" s="430">
        <v>0</v>
      </c>
    </row>
    <row r="45" spans="1:31" x14ac:dyDescent="0.25">
      <c r="A45" s="108">
        <v>5477</v>
      </c>
      <c r="B45" s="226" t="s">
        <v>142</v>
      </c>
      <c r="C45" s="368">
        <v>4974</v>
      </c>
      <c r="D45" s="371">
        <v>66</v>
      </c>
      <c r="E45" s="235">
        <v>1</v>
      </c>
      <c r="F45" s="231">
        <v>8532174.0999999996</v>
      </c>
      <c r="G45" s="232">
        <v>1166867.8600000001</v>
      </c>
      <c r="H45" s="232">
        <v>258979.4</v>
      </c>
      <c r="I45" s="232">
        <v>8769.2999999999993</v>
      </c>
      <c r="J45" s="232">
        <v>0</v>
      </c>
      <c r="K45" s="232">
        <v>117087.57</v>
      </c>
      <c r="L45" s="232">
        <v>-1365218.58</v>
      </c>
      <c r="M45" s="232"/>
      <c r="N45" s="425">
        <f>Paramètres!$K$20/(Données!$H$302+Données!$I$302)*(Données!H45+Données!I45)</f>
        <v>25456.785504438201</v>
      </c>
      <c r="O45" s="232">
        <v>947098.05</v>
      </c>
      <c r="P45" s="232">
        <v>299310.48</v>
      </c>
      <c r="Q45" s="232">
        <v>55218</v>
      </c>
      <c r="R45" s="232">
        <v>-2734.55</v>
      </c>
      <c r="S45" s="232">
        <v>372637.3</v>
      </c>
      <c r="T45" s="232">
        <v>13256</v>
      </c>
      <c r="U45" s="232">
        <v>1040239.25</v>
      </c>
      <c r="V45" s="232">
        <v>212360.5</v>
      </c>
      <c r="W45" s="233">
        <f t="shared" si="0"/>
        <v>11681501.46550444</v>
      </c>
      <c r="X45" s="232">
        <v>818</v>
      </c>
      <c r="Y45" s="232">
        <v>0</v>
      </c>
      <c r="Z45" s="234">
        <v>0.06</v>
      </c>
      <c r="AA45" s="232">
        <v>600</v>
      </c>
      <c r="AB45" s="232">
        <v>79</v>
      </c>
      <c r="AC45" s="232" t="s">
        <v>566</v>
      </c>
      <c r="AD45" s="232" t="s">
        <v>566</v>
      </c>
      <c r="AE45" s="430">
        <v>0</v>
      </c>
    </row>
    <row r="46" spans="1:31" x14ac:dyDescent="0.25">
      <c r="A46" s="108">
        <v>5479</v>
      </c>
      <c r="B46" s="226" t="s">
        <v>143</v>
      </c>
      <c r="C46" s="368">
        <v>557</v>
      </c>
      <c r="D46" s="371">
        <v>76</v>
      </c>
      <c r="E46" s="235">
        <v>1</v>
      </c>
      <c r="F46" s="231">
        <v>1267625.3400000001</v>
      </c>
      <c r="G46" s="232">
        <v>244396.87</v>
      </c>
      <c r="H46" s="232">
        <v>18375.099999999999</v>
      </c>
      <c r="I46" s="232">
        <v>1563.8</v>
      </c>
      <c r="J46" s="232">
        <v>0</v>
      </c>
      <c r="K46" s="232">
        <v>11294.24</v>
      </c>
      <c r="L46" s="232">
        <v>-84950.29</v>
      </c>
      <c r="M46" s="232"/>
      <c r="N46" s="425">
        <f>Paramètres!$K$20/(Données!$H$302+Données!$I$302)*(Données!H46+Données!I46)</f>
        <v>1895.733949387776</v>
      </c>
      <c r="O46" s="232">
        <v>102744.35</v>
      </c>
      <c r="P46" s="232">
        <v>9646.08</v>
      </c>
      <c r="Q46" s="232">
        <v>1643</v>
      </c>
      <c r="R46" s="232">
        <v>-1118.7</v>
      </c>
      <c r="S46" s="232">
        <v>218300.05</v>
      </c>
      <c r="T46" s="232">
        <v>25552.799999999999</v>
      </c>
      <c r="U46" s="232">
        <v>37672.5</v>
      </c>
      <c r="V46" s="232">
        <v>11792.25</v>
      </c>
      <c r="W46" s="233">
        <f t="shared" si="0"/>
        <v>1866433.123949388</v>
      </c>
      <c r="X46" s="232">
        <v>704</v>
      </c>
      <c r="Y46" s="232">
        <v>0</v>
      </c>
      <c r="Z46" s="234">
        <v>2.1000000000000001E-2</v>
      </c>
      <c r="AA46" s="232">
        <v>85</v>
      </c>
      <c r="AB46" s="232">
        <v>50</v>
      </c>
      <c r="AC46" s="232" t="s">
        <v>566</v>
      </c>
      <c r="AD46" s="232" t="s">
        <v>566</v>
      </c>
      <c r="AE46" s="430">
        <v>0</v>
      </c>
    </row>
    <row r="47" spans="1:31" x14ac:dyDescent="0.25">
      <c r="A47" s="108">
        <v>5480</v>
      </c>
      <c r="B47" s="226" t="s">
        <v>144</v>
      </c>
      <c r="C47" s="368">
        <v>1113</v>
      </c>
      <c r="D47" s="371">
        <v>66</v>
      </c>
      <c r="E47" s="235">
        <v>1.2</v>
      </c>
      <c r="F47" s="231">
        <v>2296710.77</v>
      </c>
      <c r="G47" s="232">
        <v>328591.84999999998</v>
      </c>
      <c r="H47" s="232">
        <v>98989.6</v>
      </c>
      <c r="I47" s="232">
        <v>8447.1</v>
      </c>
      <c r="J47" s="232">
        <v>0</v>
      </c>
      <c r="K47" s="232">
        <v>1745.29</v>
      </c>
      <c r="L47" s="232">
        <v>-12903.95</v>
      </c>
      <c r="M47" s="232"/>
      <c r="N47" s="425">
        <f>Paramètres!$K$20/(Données!$H$302+Données!$I$302)*(Données!H47+Données!I47)</f>
        <v>10214.776121059322</v>
      </c>
      <c r="O47" s="232">
        <v>425937.05</v>
      </c>
      <c r="P47" s="232">
        <v>59440.05</v>
      </c>
      <c r="Q47" s="232">
        <v>12472.7</v>
      </c>
      <c r="R47" s="232">
        <v>-1229.05</v>
      </c>
      <c r="S47" s="232">
        <v>104700.8</v>
      </c>
      <c r="T47" s="232">
        <v>229.2</v>
      </c>
      <c r="U47" s="232">
        <v>86665.8</v>
      </c>
      <c r="V47" s="232">
        <v>198648.1</v>
      </c>
      <c r="W47" s="233">
        <f t="shared" si="0"/>
        <v>3618660.0861210595</v>
      </c>
      <c r="X47" s="232">
        <v>546</v>
      </c>
      <c r="Y47" s="232">
        <v>0</v>
      </c>
      <c r="Z47" s="234">
        <v>9.4E-2</v>
      </c>
      <c r="AA47" s="232">
        <v>156</v>
      </c>
      <c r="AB47" s="232">
        <v>107</v>
      </c>
      <c r="AC47" s="232" t="s">
        <v>566</v>
      </c>
      <c r="AD47" s="232" t="s">
        <v>566</v>
      </c>
      <c r="AE47" s="430">
        <v>0</v>
      </c>
    </row>
    <row r="48" spans="1:31" x14ac:dyDescent="0.25">
      <c r="A48" s="108">
        <v>5481</v>
      </c>
      <c r="B48" s="226" t="s">
        <v>145</v>
      </c>
      <c r="C48" s="368">
        <v>239</v>
      </c>
      <c r="D48" s="371">
        <v>75</v>
      </c>
      <c r="E48" s="235">
        <v>1</v>
      </c>
      <c r="F48" s="231">
        <v>477244.95</v>
      </c>
      <c r="G48" s="232">
        <v>67127.16</v>
      </c>
      <c r="H48" s="232">
        <v>44664</v>
      </c>
      <c r="I48" s="232">
        <v>1124.55</v>
      </c>
      <c r="J48" s="232">
        <v>0</v>
      </c>
      <c r="K48" s="232">
        <v>0</v>
      </c>
      <c r="L48" s="232">
        <v>-2585.0500000000002</v>
      </c>
      <c r="M48" s="232"/>
      <c r="N48" s="425">
        <f>Paramètres!$K$20/(Données!$H$302+Données!$I$302)*(Données!H48+Données!I48)</f>
        <v>4353.4452115332169</v>
      </c>
      <c r="O48" s="232">
        <v>42720.1</v>
      </c>
      <c r="P48" s="232">
        <v>8682.3799999999992</v>
      </c>
      <c r="Q48" s="232">
        <v>0</v>
      </c>
      <c r="R48" s="232">
        <v>0</v>
      </c>
      <c r="S48" s="232">
        <v>8910</v>
      </c>
      <c r="T48" s="232">
        <v>0</v>
      </c>
      <c r="U48" s="232">
        <v>16779.3</v>
      </c>
      <c r="V48" s="232">
        <v>0</v>
      </c>
      <c r="W48" s="233">
        <f t="shared" si="0"/>
        <v>669020.83521153324</v>
      </c>
      <c r="X48" s="232">
        <v>304</v>
      </c>
      <c r="Y48" s="232">
        <v>0</v>
      </c>
      <c r="Z48" s="234">
        <v>3.5000000000000003E-2</v>
      </c>
      <c r="AA48" s="232">
        <v>30</v>
      </c>
      <c r="AB48" s="232">
        <v>30</v>
      </c>
      <c r="AC48" s="232" t="s">
        <v>566</v>
      </c>
      <c r="AD48" s="232" t="s">
        <v>566</v>
      </c>
      <c r="AE48" s="430">
        <v>0</v>
      </c>
    </row>
    <row r="49" spans="1:31" x14ac:dyDescent="0.25">
      <c r="A49" s="108">
        <v>5482</v>
      </c>
      <c r="B49" s="226" t="s">
        <v>146</v>
      </c>
      <c r="C49" s="368">
        <v>1202</v>
      </c>
      <c r="D49" s="371">
        <v>46</v>
      </c>
      <c r="E49" s="235">
        <v>1</v>
      </c>
      <c r="F49" s="231">
        <v>1291231.5</v>
      </c>
      <c r="G49" s="232">
        <v>179885.5</v>
      </c>
      <c r="H49" s="232">
        <v>336754.5</v>
      </c>
      <c r="I49" s="232">
        <v>23532.95</v>
      </c>
      <c r="J49" s="232">
        <v>0</v>
      </c>
      <c r="K49" s="232">
        <v>3580.53</v>
      </c>
      <c r="L49" s="232">
        <v>-10634.84</v>
      </c>
      <c r="M49" s="232"/>
      <c r="N49" s="425">
        <f>Paramètres!$K$20/(Données!$H$302+Données!$I$302)*(Données!H49+Données!I49)</f>
        <v>34255.106876675789</v>
      </c>
      <c r="O49" s="232">
        <v>468329.8</v>
      </c>
      <c r="P49" s="232">
        <v>69342.19</v>
      </c>
      <c r="Q49" s="232">
        <v>27380.799999999999</v>
      </c>
      <c r="R49" s="232">
        <v>-146.65</v>
      </c>
      <c r="S49" s="232">
        <v>64779</v>
      </c>
      <c r="T49" s="232">
        <v>0</v>
      </c>
      <c r="U49" s="232">
        <v>45562.65</v>
      </c>
      <c r="V49" s="232">
        <v>776281.05</v>
      </c>
      <c r="W49" s="233">
        <f t="shared" si="0"/>
        <v>3310134.0868766755</v>
      </c>
      <c r="X49" s="232">
        <v>576</v>
      </c>
      <c r="Y49" s="232">
        <v>0</v>
      </c>
      <c r="Z49" s="234">
        <v>0.125</v>
      </c>
      <c r="AA49" s="232">
        <v>152</v>
      </c>
      <c r="AB49" s="232">
        <v>9</v>
      </c>
      <c r="AC49" s="232" t="s">
        <v>566</v>
      </c>
      <c r="AD49" s="232" t="s">
        <v>566</v>
      </c>
      <c r="AE49" s="430">
        <v>0</v>
      </c>
    </row>
    <row r="50" spans="1:31" x14ac:dyDescent="0.25">
      <c r="A50" s="108">
        <v>5483</v>
      </c>
      <c r="B50" s="226" t="s">
        <v>147</v>
      </c>
      <c r="C50" s="368">
        <v>308</v>
      </c>
      <c r="D50" s="371">
        <v>76</v>
      </c>
      <c r="E50" s="235">
        <v>1</v>
      </c>
      <c r="F50" s="231">
        <v>626680.54</v>
      </c>
      <c r="G50" s="232">
        <v>85421.53</v>
      </c>
      <c r="H50" s="232">
        <v>-788.65</v>
      </c>
      <c r="I50" s="232">
        <v>3092.05</v>
      </c>
      <c r="J50" s="232">
        <v>0</v>
      </c>
      <c r="K50" s="232">
        <v>0</v>
      </c>
      <c r="L50" s="232">
        <v>-10315.370000000001</v>
      </c>
      <c r="M50" s="232"/>
      <c r="N50" s="425">
        <f>Paramètres!$K$20/(Données!$H$302+Données!$I$302)*(Données!H50+Données!I50)</f>
        <v>219.00072616943783</v>
      </c>
      <c r="O50" s="232">
        <v>61049.3</v>
      </c>
      <c r="P50" s="232">
        <v>3155.6</v>
      </c>
      <c r="Q50" s="232">
        <v>175.5</v>
      </c>
      <c r="R50" s="232">
        <v>-1146.45</v>
      </c>
      <c r="S50" s="232">
        <v>28658.65</v>
      </c>
      <c r="T50" s="232">
        <v>0</v>
      </c>
      <c r="U50" s="232">
        <v>24852.5</v>
      </c>
      <c r="V50" s="232">
        <v>569</v>
      </c>
      <c r="W50" s="233">
        <f t="shared" si="0"/>
        <v>821623.20072616963</v>
      </c>
      <c r="X50" s="232">
        <v>315</v>
      </c>
      <c r="Y50" s="232">
        <v>0</v>
      </c>
      <c r="Z50" s="234">
        <v>3.5999999999999997E-2</v>
      </c>
      <c r="AA50" s="232">
        <v>41</v>
      </c>
      <c r="AB50" s="232">
        <v>29</v>
      </c>
      <c r="AC50" s="232" t="s">
        <v>566</v>
      </c>
      <c r="AD50" s="232" t="s">
        <v>566</v>
      </c>
      <c r="AE50" s="430">
        <v>0</v>
      </c>
    </row>
    <row r="51" spans="1:31" x14ac:dyDescent="0.25">
      <c r="A51" s="108">
        <v>5484</v>
      </c>
      <c r="B51" s="226" t="s">
        <v>148</v>
      </c>
      <c r="C51" s="368">
        <v>1091</v>
      </c>
      <c r="D51" s="371">
        <v>74</v>
      </c>
      <c r="E51" s="235">
        <v>1</v>
      </c>
      <c r="F51" s="231">
        <v>1909773.21</v>
      </c>
      <c r="G51" s="232">
        <v>280392.2</v>
      </c>
      <c r="H51" s="232">
        <v>49253.35</v>
      </c>
      <c r="I51" s="232">
        <v>2127.35</v>
      </c>
      <c r="J51" s="232">
        <v>0</v>
      </c>
      <c r="K51" s="232">
        <v>3400.12</v>
      </c>
      <c r="L51" s="232">
        <v>-18132.189999999999</v>
      </c>
      <c r="M51" s="232"/>
      <c r="N51" s="425">
        <f>Paramètres!$K$20/(Données!$H$302+Données!$I$302)*(Données!H51+Données!I51)</f>
        <v>4885.130941692295</v>
      </c>
      <c r="O51" s="232">
        <v>218990.9</v>
      </c>
      <c r="P51" s="232">
        <v>30234.560000000001</v>
      </c>
      <c r="Q51" s="232">
        <v>5372.65</v>
      </c>
      <c r="R51" s="232">
        <v>-555.9</v>
      </c>
      <c r="S51" s="232">
        <v>228333.9</v>
      </c>
      <c r="T51" s="232">
        <v>23484</v>
      </c>
      <c r="U51" s="232">
        <v>236046.2</v>
      </c>
      <c r="V51" s="232">
        <v>42469.55</v>
      </c>
      <c r="W51" s="233">
        <f t="shared" si="0"/>
        <v>3016075.0309416926</v>
      </c>
      <c r="X51" s="232">
        <v>546</v>
      </c>
      <c r="Y51" s="232">
        <v>0</v>
      </c>
      <c r="Z51" s="234">
        <v>7.9000000000000001E-2</v>
      </c>
      <c r="AA51" s="232">
        <v>147</v>
      </c>
      <c r="AB51" s="232">
        <v>63</v>
      </c>
      <c r="AC51" s="232" t="s">
        <v>566</v>
      </c>
      <c r="AD51" s="232" t="s">
        <v>566</v>
      </c>
      <c r="AE51" s="430">
        <v>0</v>
      </c>
    </row>
    <row r="52" spans="1:31" x14ac:dyDescent="0.25">
      <c r="A52" s="108">
        <v>5485</v>
      </c>
      <c r="B52" s="226" t="s">
        <v>149</v>
      </c>
      <c r="C52" s="368">
        <v>541</v>
      </c>
      <c r="D52" s="371">
        <v>70</v>
      </c>
      <c r="E52" s="235">
        <v>1</v>
      </c>
      <c r="F52" s="231">
        <v>1395103.42</v>
      </c>
      <c r="G52" s="232">
        <v>204458.68</v>
      </c>
      <c r="H52" s="232">
        <v>-13404.65</v>
      </c>
      <c r="I52" s="232">
        <v>6737.2</v>
      </c>
      <c r="J52" s="232">
        <v>0</v>
      </c>
      <c r="K52" s="232">
        <v>2325.12</v>
      </c>
      <c r="L52" s="232">
        <v>-24266.74</v>
      </c>
      <c r="M52" s="232"/>
      <c r="N52" s="425">
        <f>Paramètres!$K$20/(Données!$H$302+Données!$I$302)*(Données!H52+Données!I52)</f>
        <v>-633.92219835826086</v>
      </c>
      <c r="O52" s="232">
        <v>109544.85</v>
      </c>
      <c r="P52" s="232">
        <v>23226.400000000001</v>
      </c>
      <c r="Q52" s="232">
        <v>2344.25</v>
      </c>
      <c r="R52" s="232">
        <v>-1864.2</v>
      </c>
      <c r="S52" s="232">
        <v>65794.3</v>
      </c>
      <c r="T52" s="232">
        <v>4930.8999999999996</v>
      </c>
      <c r="U52" s="232">
        <v>96394.8</v>
      </c>
      <c r="V52" s="232">
        <v>8593.2000000000007</v>
      </c>
      <c r="W52" s="233">
        <f t="shared" si="0"/>
        <v>1879283.6078016418</v>
      </c>
      <c r="X52" s="232">
        <v>563</v>
      </c>
      <c r="Y52" s="232">
        <v>0</v>
      </c>
      <c r="Z52" s="234">
        <v>2.3E-2</v>
      </c>
      <c r="AA52" s="232">
        <v>77</v>
      </c>
      <c r="AB52" s="232">
        <v>58</v>
      </c>
      <c r="AC52" s="232" t="s">
        <v>566</v>
      </c>
      <c r="AD52" s="232" t="s">
        <v>566</v>
      </c>
      <c r="AE52" s="430">
        <v>0</v>
      </c>
    </row>
    <row r="53" spans="1:31" x14ac:dyDescent="0.25">
      <c r="A53" s="108">
        <v>5486</v>
      </c>
      <c r="B53" s="226" t="s">
        <v>150</v>
      </c>
      <c r="C53" s="368">
        <v>1106</v>
      </c>
      <c r="D53" s="371">
        <v>75</v>
      </c>
      <c r="E53" s="235">
        <v>1</v>
      </c>
      <c r="F53" s="231">
        <v>2062250.37</v>
      </c>
      <c r="G53" s="232">
        <v>319890.67</v>
      </c>
      <c r="H53" s="232">
        <v>73145.649999999994</v>
      </c>
      <c r="I53" s="232">
        <v>9941.4500000000007</v>
      </c>
      <c r="J53" s="232">
        <v>0</v>
      </c>
      <c r="K53" s="232">
        <v>5558.84</v>
      </c>
      <c r="L53" s="232">
        <v>-26988.67</v>
      </c>
      <c r="M53" s="232"/>
      <c r="N53" s="425">
        <f>Paramètres!$K$20/(Données!$H$302+Données!$I$302)*(Données!H53+Données!I53)</f>
        <v>7899.685350053267</v>
      </c>
      <c r="O53" s="232">
        <v>216489.5</v>
      </c>
      <c r="P53" s="232">
        <v>52691.12</v>
      </c>
      <c r="Q53" s="232">
        <v>13408.65</v>
      </c>
      <c r="R53" s="232">
        <v>-214.15</v>
      </c>
      <c r="S53" s="232">
        <v>145238.20000000001</v>
      </c>
      <c r="T53" s="232">
        <v>7565.9</v>
      </c>
      <c r="U53" s="232">
        <v>138350.70000000001</v>
      </c>
      <c r="V53" s="232">
        <v>50596.6</v>
      </c>
      <c r="W53" s="233">
        <f t="shared" si="0"/>
        <v>3075824.515350054</v>
      </c>
      <c r="X53" s="232">
        <v>1619</v>
      </c>
      <c r="Y53" s="232">
        <v>107</v>
      </c>
      <c r="Z53" s="234">
        <v>0.122</v>
      </c>
      <c r="AA53" s="232">
        <v>126</v>
      </c>
      <c r="AB53" s="232">
        <v>96</v>
      </c>
      <c r="AC53" s="232" t="s">
        <v>566</v>
      </c>
      <c r="AD53" s="232" t="s">
        <v>566</v>
      </c>
      <c r="AE53" s="430">
        <v>0</v>
      </c>
    </row>
    <row r="54" spans="1:31" x14ac:dyDescent="0.25">
      <c r="A54" s="108">
        <v>5487</v>
      </c>
      <c r="B54" s="226" t="s">
        <v>151</v>
      </c>
      <c r="C54" s="368">
        <v>469</v>
      </c>
      <c r="D54" s="371">
        <v>75</v>
      </c>
      <c r="E54" s="235">
        <v>1</v>
      </c>
      <c r="F54" s="231">
        <v>939471.16</v>
      </c>
      <c r="G54" s="232">
        <v>168362.26</v>
      </c>
      <c r="H54" s="232">
        <v>8545.7999999999993</v>
      </c>
      <c r="I54" s="232">
        <v>1043.05</v>
      </c>
      <c r="J54" s="232">
        <v>0</v>
      </c>
      <c r="K54" s="232">
        <v>0</v>
      </c>
      <c r="L54" s="232">
        <v>-10289.620000000001</v>
      </c>
      <c r="M54" s="232"/>
      <c r="N54" s="425">
        <f>Paramètres!$K$20/(Données!$H$302+Données!$I$302)*(Données!H54+Données!I54)</f>
        <v>911.6806082876675</v>
      </c>
      <c r="O54" s="232">
        <v>84284.15</v>
      </c>
      <c r="P54" s="232">
        <v>17574.64</v>
      </c>
      <c r="Q54" s="232">
        <v>1070</v>
      </c>
      <c r="R54" s="232">
        <v>0</v>
      </c>
      <c r="S54" s="232">
        <v>90974.2</v>
      </c>
      <c r="T54" s="232">
        <v>0</v>
      </c>
      <c r="U54" s="232">
        <v>110045.7</v>
      </c>
      <c r="V54" s="232">
        <v>0</v>
      </c>
      <c r="W54" s="233">
        <f t="shared" si="0"/>
        <v>1411993.0206082873</v>
      </c>
      <c r="X54" s="232">
        <v>367</v>
      </c>
      <c r="Y54" s="232">
        <v>0</v>
      </c>
      <c r="Z54" s="234">
        <v>2.3E-2</v>
      </c>
      <c r="AA54" s="232">
        <v>52</v>
      </c>
      <c r="AB54" s="232">
        <v>52</v>
      </c>
      <c r="AC54" s="232" t="s">
        <v>566</v>
      </c>
      <c r="AD54" s="232" t="s">
        <v>566</v>
      </c>
      <c r="AE54" s="430">
        <v>0</v>
      </c>
    </row>
    <row r="55" spans="1:31" x14ac:dyDescent="0.25">
      <c r="A55" s="108">
        <v>5488</v>
      </c>
      <c r="B55" s="226" t="s">
        <v>152</v>
      </c>
      <c r="C55" s="368">
        <v>74</v>
      </c>
      <c r="D55" s="371">
        <v>75</v>
      </c>
      <c r="E55" s="235">
        <v>1</v>
      </c>
      <c r="F55" s="231">
        <v>125476.74</v>
      </c>
      <c r="G55" s="232">
        <v>15119.25</v>
      </c>
      <c r="H55" s="232">
        <v>27.25</v>
      </c>
      <c r="I55" s="232">
        <v>993.25</v>
      </c>
      <c r="J55" s="232">
        <v>0</v>
      </c>
      <c r="K55" s="232">
        <v>0</v>
      </c>
      <c r="L55" s="232">
        <v>-6.43</v>
      </c>
      <c r="M55" s="232"/>
      <c r="N55" s="425">
        <f>Paramètres!$K$20/(Données!$H$302+Données!$I$302)*(Données!H55+Données!I55)</f>
        <v>97.026239930498946</v>
      </c>
      <c r="O55" s="232">
        <v>12105</v>
      </c>
      <c r="P55" s="232">
        <v>2761.42</v>
      </c>
      <c r="Q55" s="232">
        <v>0</v>
      </c>
      <c r="R55" s="232">
        <v>0</v>
      </c>
      <c r="S55" s="232">
        <v>0</v>
      </c>
      <c r="T55" s="232">
        <v>0</v>
      </c>
      <c r="U55" s="232">
        <v>0</v>
      </c>
      <c r="V55" s="232">
        <v>0</v>
      </c>
      <c r="W55" s="233">
        <f t="shared" si="0"/>
        <v>156573.50623993052</v>
      </c>
      <c r="X55" s="232">
        <v>46</v>
      </c>
      <c r="Y55" s="232">
        <v>0</v>
      </c>
      <c r="Z55" s="234">
        <v>7.9000000000000001E-2</v>
      </c>
      <c r="AA55" s="232">
        <v>8</v>
      </c>
      <c r="AB55" s="232">
        <v>8</v>
      </c>
      <c r="AC55" s="232" t="s">
        <v>566</v>
      </c>
      <c r="AD55" s="232" t="s">
        <v>566</v>
      </c>
      <c r="AE55" s="430">
        <v>0</v>
      </c>
    </row>
    <row r="56" spans="1:31" x14ac:dyDescent="0.25">
      <c r="A56" s="108">
        <v>5489</v>
      </c>
      <c r="B56" s="226" t="s">
        <v>153</v>
      </c>
      <c r="C56" s="368">
        <v>828</v>
      </c>
      <c r="D56" s="371">
        <v>59.5</v>
      </c>
      <c r="E56" s="235">
        <v>1</v>
      </c>
      <c r="F56" s="231">
        <v>2495715.33</v>
      </c>
      <c r="G56" s="232">
        <v>688672.77</v>
      </c>
      <c r="H56" s="232">
        <v>1394118.35</v>
      </c>
      <c r="I56" s="232">
        <v>18538.5</v>
      </c>
      <c r="J56" s="232">
        <v>0</v>
      </c>
      <c r="K56" s="232">
        <v>3112.47</v>
      </c>
      <c r="L56" s="232">
        <v>-93928.21</v>
      </c>
      <c r="M56" s="232"/>
      <c r="N56" s="425">
        <f>Paramètres!$K$20/(Données!$H$302+Données!$I$302)*(Données!H56+Données!I56)</f>
        <v>134311.39879232031</v>
      </c>
      <c r="O56" s="232">
        <v>312468.90000000002</v>
      </c>
      <c r="P56" s="232">
        <v>111783.06</v>
      </c>
      <c r="Q56" s="232">
        <v>9592.5</v>
      </c>
      <c r="R56" s="232">
        <v>-22131.63</v>
      </c>
      <c r="S56" s="232">
        <v>45485</v>
      </c>
      <c r="T56" s="232">
        <v>0</v>
      </c>
      <c r="U56" s="232">
        <v>84296.75</v>
      </c>
      <c r="V56" s="232">
        <v>263408.09999999998</v>
      </c>
      <c r="W56" s="233">
        <f t="shared" si="0"/>
        <v>5445443.2887923196</v>
      </c>
      <c r="X56" s="232">
        <v>290</v>
      </c>
      <c r="Y56" s="232">
        <v>0</v>
      </c>
      <c r="Z56" s="234">
        <v>6.5000000000000002E-2</v>
      </c>
      <c r="AA56" s="232">
        <v>97</v>
      </c>
      <c r="AB56" s="232">
        <v>66</v>
      </c>
      <c r="AC56" s="232" t="s">
        <v>566</v>
      </c>
      <c r="AD56" s="232" t="s">
        <v>566</v>
      </c>
      <c r="AE56" s="430">
        <v>0</v>
      </c>
    </row>
    <row r="57" spans="1:31" x14ac:dyDescent="0.25">
      <c r="A57" s="108">
        <v>5490</v>
      </c>
      <c r="B57" s="226" t="s">
        <v>154</v>
      </c>
      <c r="C57" s="368">
        <v>295</v>
      </c>
      <c r="D57" s="371">
        <v>76</v>
      </c>
      <c r="E57" s="235">
        <v>1</v>
      </c>
      <c r="F57" s="231">
        <v>484786.49</v>
      </c>
      <c r="G57" s="232">
        <v>85487.59</v>
      </c>
      <c r="H57" s="232">
        <v>7278.5</v>
      </c>
      <c r="I57" s="232">
        <v>1033.8499999999999</v>
      </c>
      <c r="J57" s="232">
        <v>0</v>
      </c>
      <c r="K57" s="232">
        <v>8307.6200000000008</v>
      </c>
      <c r="L57" s="232">
        <v>-26655.91</v>
      </c>
      <c r="M57" s="232"/>
      <c r="N57" s="425">
        <f>Paramètres!$K$20/(Données!$H$302+Données!$I$302)*(Données!H57+Données!I57)</f>
        <v>790.31461586112982</v>
      </c>
      <c r="O57" s="232">
        <v>50467.4</v>
      </c>
      <c r="P57" s="232">
        <v>8090.01</v>
      </c>
      <c r="Q57" s="232">
        <v>0</v>
      </c>
      <c r="R57" s="232">
        <v>-283.2</v>
      </c>
      <c r="S57" s="232">
        <v>15878.55</v>
      </c>
      <c r="T57" s="232">
        <v>0</v>
      </c>
      <c r="U57" s="232">
        <v>7044.8</v>
      </c>
      <c r="V57" s="232">
        <v>0</v>
      </c>
      <c r="W57" s="233">
        <f t="shared" si="0"/>
        <v>642226.01461586123</v>
      </c>
      <c r="X57" s="232">
        <v>667</v>
      </c>
      <c r="Y57" s="232">
        <v>0</v>
      </c>
      <c r="Z57" s="234">
        <v>0.02</v>
      </c>
      <c r="AA57" s="232">
        <v>40</v>
      </c>
      <c r="AB57" s="232">
        <v>25</v>
      </c>
      <c r="AC57" s="232" t="s">
        <v>566</v>
      </c>
      <c r="AD57" s="232" t="s">
        <v>566</v>
      </c>
      <c r="AE57" s="430">
        <v>0</v>
      </c>
    </row>
    <row r="58" spans="1:31" x14ac:dyDescent="0.25">
      <c r="A58" s="108">
        <v>5491</v>
      </c>
      <c r="B58" s="226" t="s">
        <v>155</v>
      </c>
      <c r="C58" s="368">
        <v>504</v>
      </c>
      <c r="D58" s="371">
        <v>76</v>
      </c>
      <c r="E58" s="235">
        <v>1</v>
      </c>
      <c r="F58" s="231">
        <v>634052.24</v>
      </c>
      <c r="G58" s="232">
        <v>118564.32</v>
      </c>
      <c r="H58" s="232">
        <v>-7329.5</v>
      </c>
      <c r="I58" s="232">
        <v>3830.2</v>
      </c>
      <c r="J58" s="232">
        <v>0</v>
      </c>
      <c r="K58" s="232">
        <v>2296.69</v>
      </c>
      <c r="L58" s="232">
        <v>-42954.87</v>
      </c>
      <c r="M58" s="232"/>
      <c r="N58" s="425">
        <f>Paramètres!$K$20/(Données!$H$302+Données!$I$302)*(Données!H58+Données!I58)</f>
        <v>-332.70349964605094</v>
      </c>
      <c r="O58" s="232">
        <v>97397.4</v>
      </c>
      <c r="P58" s="232">
        <v>14504.67</v>
      </c>
      <c r="Q58" s="232">
        <v>682.5</v>
      </c>
      <c r="R58" s="232">
        <v>0</v>
      </c>
      <c r="S58" s="232">
        <v>24357.8</v>
      </c>
      <c r="T58" s="232">
        <v>53004.3</v>
      </c>
      <c r="U58" s="232">
        <v>33959.599999999999</v>
      </c>
      <c r="V58" s="232">
        <v>0</v>
      </c>
      <c r="W58" s="233">
        <f t="shared" si="0"/>
        <v>932032.64650035405</v>
      </c>
      <c r="X58" s="232">
        <v>1978</v>
      </c>
      <c r="Y58" s="232">
        <v>504</v>
      </c>
      <c r="Z58" s="234">
        <v>0.14899999999999999</v>
      </c>
      <c r="AA58" s="232">
        <v>63</v>
      </c>
      <c r="AB58" s="232">
        <v>48</v>
      </c>
      <c r="AC58" s="232" t="s">
        <v>566</v>
      </c>
      <c r="AD58" s="232" t="s">
        <v>566</v>
      </c>
      <c r="AE58" s="430">
        <v>0</v>
      </c>
    </row>
    <row r="59" spans="1:31" x14ac:dyDescent="0.25">
      <c r="A59" s="108">
        <v>5492</v>
      </c>
      <c r="B59" s="226" t="s">
        <v>156</v>
      </c>
      <c r="C59" s="368">
        <v>947</v>
      </c>
      <c r="D59" s="371">
        <v>64</v>
      </c>
      <c r="E59" s="235">
        <v>0.3</v>
      </c>
      <c r="F59" s="231">
        <v>7167480.5999999996</v>
      </c>
      <c r="G59" s="232">
        <v>4450338.92</v>
      </c>
      <c r="H59" s="232">
        <v>5724</v>
      </c>
      <c r="I59" s="232">
        <v>3406.65</v>
      </c>
      <c r="J59" s="232">
        <v>0</v>
      </c>
      <c r="K59" s="232">
        <v>2205.7600000000002</v>
      </c>
      <c r="L59" s="232">
        <v>-45740.84</v>
      </c>
      <c r="M59" s="232"/>
      <c r="N59" s="425">
        <f>Paramètres!$K$20/(Données!$H$302+Données!$I$302)*(Données!H59+Données!I59)</f>
        <v>868.11625440608543</v>
      </c>
      <c r="O59" s="232">
        <v>77200.7</v>
      </c>
      <c r="P59" s="232">
        <v>36524.78</v>
      </c>
      <c r="Q59" s="232">
        <v>5974.3</v>
      </c>
      <c r="R59" s="232">
        <v>-7252.1</v>
      </c>
      <c r="S59" s="232">
        <v>125859.95</v>
      </c>
      <c r="T59" s="232">
        <v>99050</v>
      </c>
      <c r="U59" s="232">
        <v>65762</v>
      </c>
      <c r="V59" s="232">
        <v>7027.85</v>
      </c>
      <c r="W59" s="233">
        <f t="shared" si="0"/>
        <v>11994430.686254404</v>
      </c>
      <c r="X59" s="232">
        <v>2579</v>
      </c>
      <c r="Y59" s="232">
        <v>722</v>
      </c>
      <c r="Z59" s="234">
        <v>0.27700000000000002</v>
      </c>
      <c r="AA59" s="232">
        <v>95</v>
      </c>
      <c r="AB59" s="232">
        <v>57</v>
      </c>
      <c r="AC59" s="232" t="s">
        <v>566</v>
      </c>
      <c r="AD59" s="232" t="s">
        <v>566</v>
      </c>
      <c r="AE59" s="430">
        <v>0</v>
      </c>
    </row>
    <row r="60" spans="1:31" x14ac:dyDescent="0.25">
      <c r="A60" s="108">
        <v>5493</v>
      </c>
      <c r="B60" s="226" t="s">
        <v>157</v>
      </c>
      <c r="C60" s="368">
        <v>525</v>
      </c>
      <c r="D60" s="371">
        <v>73</v>
      </c>
      <c r="E60" s="235">
        <v>0.65</v>
      </c>
      <c r="F60" s="231">
        <v>999621.77</v>
      </c>
      <c r="G60" s="232">
        <v>93466.89</v>
      </c>
      <c r="H60" s="232">
        <v>20620.900000000001</v>
      </c>
      <c r="I60" s="232">
        <v>3441.1</v>
      </c>
      <c r="J60" s="232">
        <v>0</v>
      </c>
      <c r="K60" s="232">
        <v>0</v>
      </c>
      <c r="L60" s="232">
        <v>-11469.11</v>
      </c>
      <c r="M60" s="232"/>
      <c r="N60" s="425">
        <f>Paramètres!$K$20/(Données!$H$302+Données!$I$302)*(Données!H60+Données!I60)</f>
        <v>2287.7465803112846</v>
      </c>
      <c r="O60" s="232">
        <v>57982.05</v>
      </c>
      <c r="P60" s="232">
        <v>9926.52</v>
      </c>
      <c r="Q60" s="232">
        <v>5460.15</v>
      </c>
      <c r="R60" s="232">
        <v>-962.55</v>
      </c>
      <c r="S60" s="232">
        <v>53539.25</v>
      </c>
      <c r="T60" s="232">
        <v>47045.8</v>
      </c>
      <c r="U60" s="232">
        <v>60198</v>
      </c>
      <c r="V60" s="232">
        <v>55584.85</v>
      </c>
      <c r="W60" s="233">
        <f t="shared" si="0"/>
        <v>1396743.3665803112</v>
      </c>
      <c r="X60" s="232">
        <v>545</v>
      </c>
      <c r="Y60" s="232">
        <v>0</v>
      </c>
      <c r="Z60" s="234">
        <v>8.1000000000000003E-2</v>
      </c>
      <c r="AA60" s="232">
        <v>58</v>
      </c>
      <c r="AB60" s="232">
        <v>1</v>
      </c>
      <c r="AC60" s="232" t="s">
        <v>566</v>
      </c>
      <c r="AD60" s="232" t="s">
        <v>566</v>
      </c>
      <c r="AE60" s="430">
        <v>0</v>
      </c>
    </row>
    <row r="61" spans="1:31" x14ac:dyDescent="0.25">
      <c r="A61" s="108">
        <v>5495</v>
      </c>
      <c r="B61" s="226" t="s">
        <v>158</v>
      </c>
      <c r="C61" s="368">
        <v>3199</v>
      </c>
      <c r="D61" s="371">
        <v>72.5</v>
      </c>
      <c r="E61" s="235">
        <v>1</v>
      </c>
      <c r="F61" s="231">
        <v>5042277.93</v>
      </c>
      <c r="G61" s="232">
        <v>654204.42000000004</v>
      </c>
      <c r="H61" s="232">
        <v>180698.55</v>
      </c>
      <c r="I61" s="232">
        <v>16892.25</v>
      </c>
      <c r="J61" s="232">
        <v>83902.48</v>
      </c>
      <c r="K61" s="232">
        <v>32969.800000000003</v>
      </c>
      <c r="L61" s="232">
        <v>-138208.93</v>
      </c>
      <c r="M61" s="232"/>
      <c r="N61" s="425">
        <f>Paramètres!$K$20/(Données!$H$302+Données!$I$302)*(Données!H61+Données!I61)</f>
        <v>18786.371748024725</v>
      </c>
      <c r="O61" s="232">
        <v>555131.4</v>
      </c>
      <c r="P61" s="232">
        <v>248255.6</v>
      </c>
      <c r="Q61" s="232">
        <v>102178.15</v>
      </c>
      <c r="R61" s="232">
        <v>-356.75</v>
      </c>
      <c r="S61" s="232">
        <v>245062.3</v>
      </c>
      <c r="T61" s="232">
        <v>138869.29999999999</v>
      </c>
      <c r="U61" s="232">
        <v>217812.95</v>
      </c>
      <c r="V61" s="232">
        <v>409229.2</v>
      </c>
      <c r="W61" s="233">
        <f t="shared" si="0"/>
        <v>7807705.021748025</v>
      </c>
      <c r="X61" s="232">
        <v>380</v>
      </c>
      <c r="Y61" s="232">
        <v>0</v>
      </c>
      <c r="Z61" s="234">
        <v>9.0999999999999998E-2</v>
      </c>
      <c r="AA61" s="232">
        <v>421</v>
      </c>
      <c r="AB61" s="232">
        <v>146</v>
      </c>
      <c r="AC61" s="232" t="s">
        <v>566</v>
      </c>
      <c r="AD61" s="232" t="s">
        <v>566</v>
      </c>
      <c r="AE61" s="430">
        <v>0</v>
      </c>
    </row>
    <row r="62" spans="1:31" x14ac:dyDescent="0.25">
      <c r="A62" s="108">
        <v>5496</v>
      </c>
      <c r="B62" s="226" t="s">
        <v>159</v>
      </c>
      <c r="C62" s="368">
        <v>1910</v>
      </c>
      <c r="D62" s="371">
        <v>69.5</v>
      </c>
      <c r="E62" s="235">
        <v>1</v>
      </c>
      <c r="F62" s="231">
        <v>3428722.11</v>
      </c>
      <c r="G62" s="232">
        <v>390512.72</v>
      </c>
      <c r="H62" s="232">
        <v>103779.79</v>
      </c>
      <c r="I62" s="232">
        <v>17351.900000000001</v>
      </c>
      <c r="J62" s="232">
        <v>0</v>
      </c>
      <c r="K62" s="232">
        <v>12459.75</v>
      </c>
      <c r="L62" s="232">
        <v>-100269.89</v>
      </c>
      <c r="M62" s="232"/>
      <c r="N62" s="425">
        <f>Paramètres!$K$20/(Données!$H$302+Données!$I$302)*(Données!H62+Données!I62)</f>
        <v>11516.856851667635</v>
      </c>
      <c r="O62" s="232">
        <v>397012.55</v>
      </c>
      <c r="P62" s="232">
        <v>128509.58</v>
      </c>
      <c r="Q62" s="232">
        <v>28304.1</v>
      </c>
      <c r="R62" s="232">
        <v>-618.20000000000005</v>
      </c>
      <c r="S62" s="232">
        <v>138263.04999999999</v>
      </c>
      <c r="T62" s="232">
        <v>20858.5</v>
      </c>
      <c r="U62" s="232">
        <v>137511.79999999999</v>
      </c>
      <c r="V62" s="232">
        <v>109361.05</v>
      </c>
      <c r="W62" s="233">
        <f t="shared" si="0"/>
        <v>4823275.6668516668</v>
      </c>
      <c r="X62" s="232">
        <v>371</v>
      </c>
      <c r="Y62" s="232">
        <v>0</v>
      </c>
      <c r="Z62" s="234">
        <v>0.06</v>
      </c>
      <c r="AA62" s="232">
        <v>278</v>
      </c>
      <c r="AB62" s="232">
        <v>149</v>
      </c>
      <c r="AC62" s="232" t="s">
        <v>566</v>
      </c>
      <c r="AD62" s="232" t="s">
        <v>566</v>
      </c>
      <c r="AE62" s="430">
        <v>0</v>
      </c>
    </row>
    <row r="63" spans="1:31" x14ac:dyDescent="0.25">
      <c r="A63" s="108">
        <v>5497</v>
      </c>
      <c r="B63" s="226" t="s">
        <v>160</v>
      </c>
      <c r="C63" s="368">
        <v>917</v>
      </c>
      <c r="D63" s="371">
        <v>66</v>
      </c>
      <c r="E63" s="235">
        <v>1</v>
      </c>
      <c r="F63" s="231">
        <v>1306202.24</v>
      </c>
      <c r="G63" s="232">
        <v>131462.10999999999</v>
      </c>
      <c r="H63" s="232">
        <v>14309.2</v>
      </c>
      <c r="I63" s="232">
        <v>2823.25</v>
      </c>
      <c r="J63" s="232">
        <v>0</v>
      </c>
      <c r="K63" s="232">
        <v>1881.04</v>
      </c>
      <c r="L63" s="232">
        <v>-46692.77</v>
      </c>
      <c r="M63" s="232"/>
      <c r="N63" s="425">
        <f>Paramètres!$K$20/(Données!$H$302+Données!$I$302)*(Données!H63+Données!I63)</f>
        <v>1628.90465879204</v>
      </c>
      <c r="O63" s="232">
        <v>144794.15</v>
      </c>
      <c r="P63" s="232">
        <v>109551.77</v>
      </c>
      <c r="Q63" s="232">
        <v>3771.5</v>
      </c>
      <c r="R63" s="232">
        <v>-228.2</v>
      </c>
      <c r="S63" s="232">
        <v>72985</v>
      </c>
      <c r="T63" s="232">
        <v>12639.6</v>
      </c>
      <c r="U63" s="232">
        <v>16364.55</v>
      </c>
      <c r="V63" s="232">
        <v>249648.55</v>
      </c>
      <c r="W63" s="233">
        <f t="shared" si="0"/>
        <v>2021140.8946587923</v>
      </c>
      <c r="X63" s="232">
        <v>440</v>
      </c>
      <c r="Y63" s="232">
        <v>0</v>
      </c>
      <c r="Z63" s="234">
        <v>8.1000000000000003E-2</v>
      </c>
      <c r="AA63" s="232">
        <v>108</v>
      </c>
      <c r="AB63" s="232">
        <v>16</v>
      </c>
      <c r="AC63" s="232" t="s">
        <v>566</v>
      </c>
      <c r="AD63" s="232" t="s">
        <v>566</v>
      </c>
      <c r="AE63" s="430">
        <v>0</v>
      </c>
    </row>
    <row r="64" spans="1:31" x14ac:dyDescent="0.25">
      <c r="A64" s="108">
        <v>5498</v>
      </c>
      <c r="B64" s="226" t="s">
        <v>161</v>
      </c>
      <c r="C64" s="368">
        <v>2609</v>
      </c>
      <c r="D64" s="371">
        <v>70</v>
      </c>
      <c r="E64" s="235">
        <v>1</v>
      </c>
      <c r="F64" s="231">
        <v>4190123.88</v>
      </c>
      <c r="G64" s="232">
        <v>491420.3</v>
      </c>
      <c r="H64" s="232">
        <v>155786.35</v>
      </c>
      <c r="I64" s="232">
        <v>11416.65</v>
      </c>
      <c r="J64" s="232">
        <v>0</v>
      </c>
      <c r="K64" s="232">
        <v>4047.05</v>
      </c>
      <c r="L64" s="232">
        <v>-133005.95000000001</v>
      </c>
      <c r="M64" s="232"/>
      <c r="N64" s="425">
        <f>Paramètres!$K$20/(Données!$H$302+Données!$I$302)*(Données!H64+Données!I64)</f>
        <v>15897.186080449992</v>
      </c>
      <c r="O64" s="232">
        <v>430514.2</v>
      </c>
      <c r="P64" s="232">
        <v>170685.91</v>
      </c>
      <c r="Q64" s="232">
        <v>29219.8</v>
      </c>
      <c r="R64" s="232">
        <v>-269.3</v>
      </c>
      <c r="S64" s="232">
        <v>175175</v>
      </c>
      <c r="T64" s="232">
        <v>10196.799999999999</v>
      </c>
      <c r="U64" s="232">
        <v>146701.6</v>
      </c>
      <c r="V64" s="232">
        <v>111167.3</v>
      </c>
      <c r="W64" s="233">
        <f t="shared" si="0"/>
        <v>5809076.7760804491</v>
      </c>
      <c r="X64" s="232">
        <v>763</v>
      </c>
      <c r="Y64" s="232">
        <v>0</v>
      </c>
      <c r="Z64" s="234">
        <v>0.1</v>
      </c>
      <c r="AA64" s="232">
        <v>328</v>
      </c>
      <c r="AB64" s="232">
        <v>44</v>
      </c>
      <c r="AC64" s="232" t="s">
        <v>566</v>
      </c>
      <c r="AD64" s="232" t="s">
        <v>566</v>
      </c>
      <c r="AE64" s="430">
        <v>0</v>
      </c>
    </row>
    <row r="65" spans="1:31" x14ac:dyDescent="0.25">
      <c r="A65" s="108">
        <v>5499</v>
      </c>
      <c r="B65" s="226" t="s">
        <v>162</v>
      </c>
      <c r="C65" s="368">
        <v>505</v>
      </c>
      <c r="D65" s="371">
        <v>68.5</v>
      </c>
      <c r="E65" s="235">
        <v>1</v>
      </c>
      <c r="F65" s="231">
        <v>1206251.51</v>
      </c>
      <c r="G65" s="232">
        <v>150388.78</v>
      </c>
      <c r="H65" s="232">
        <v>42642.95</v>
      </c>
      <c r="I65" s="232">
        <v>3358.05</v>
      </c>
      <c r="J65" s="232">
        <v>0</v>
      </c>
      <c r="K65" s="232">
        <v>2276.58</v>
      </c>
      <c r="L65" s="232">
        <v>-7125.74</v>
      </c>
      <c r="M65" s="232"/>
      <c r="N65" s="425">
        <f>Paramètres!$K$20/(Données!$H$302+Données!$I$302)*(Données!H65+Données!I65)</f>
        <v>4373.6443537901832</v>
      </c>
      <c r="O65" s="232">
        <v>110504.1</v>
      </c>
      <c r="P65" s="232">
        <v>11389.11</v>
      </c>
      <c r="Q65" s="232">
        <v>0</v>
      </c>
      <c r="R65" s="232">
        <v>-3532.2</v>
      </c>
      <c r="S65" s="232">
        <v>80206</v>
      </c>
      <c r="T65" s="232">
        <f>320476.2-300000</f>
        <v>20476.200000000012</v>
      </c>
      <c r="U65" s="232">
        <v>71311.850000000006</v>
      </c>
      <c r="V65" s="232">
        <v>27100.05</v>
      </c>
      <c r="W65" s="233">
        <f t="shared" si="0"/>
        <v>1719620.8843537907</v>
      </c>
      <c r="X65" s="232">
        <v>391</v>
      </c>
      <c r="Y65" s="232">
        <v>0</v>
      </c>
      <c r="Z65" s="234">
        <v>6.0000000000000001E-3</v>
      </c>
      <c r="AA65" s="232">
        <v>71</v>
      </c>
      <c r="AB65" s="232">
        <v>40</v>
      </c>
      <c r="AC65" s="232" t="s">
        <v>566</v>
      </c>
      <c r="AD65" s="232" t="s">
        <v>566</v>
      </c>
      <c r="AE65" s="430">
        <v>0</v>
      </c>
    </row>
    <row r="66" spans="1:31" x14ac:dyDescent="0.25">
      <c r="A66" s="108">
        <v>5501</v>
      </c>
      <c r="B66" s="226" t="s">
        <v>163</v>
      </c>
      <c r="C66" s="368">
        <v>1282</v>
      </c>
      <c r="D66" s="371">
        <v>64</v>
      </c>
      <c r="E66" s="235">
        <v>1</v>
      </c>
      <c r="F66" s="231">
        <v>2830921.13</v>
      </c>
      <c r="G66" s="232">
        <v>428914.08</v>
      </c>
      <c r="H66" s="232">
        <v>167413.4</v>
      </c>
      <c r="I66" s="232">
        <v>4148.95</v>
      </c>
      <c r="J66" s="232">
        <v>0</v>
      </c>
      <c r="K66" s="232">
        <v>1458.68</v>
      </c>
      <c r="L66" s="232">
        <v>-33264.660000000003</v>
      </c>
      <c r="M66" s="232"/>
      <c r="N66" s="425">
        <f>Paramètres!$K$20/(Données!$H$302+Données!$I$302)*(Données!H66+Données!I66)</f>
        <v>16311.660689995333</v>
      </c>
      <c r="O66" s="232">
        <v>293416.2</v>
      </c>
      <c r="P66" s="232">
        <v>633.37</v>
      </c>
      <c r="Q66" s="232">
        <v>0</v>
      </c>
      <c r="R66" s="232">
        <v>-2005.7</v>
      </c>
      <c r="S66" s="232">
        <v>282313</v>
      </c>
      <c r="T66" s="232">
        <v>28173.9</v>
      </c>
      <c r="U66" s="232">
        <v>150747.75</v>
      </c>
      <c r="V66" s="232">
        <v>14116.75</v>
      </c>
      <c r="W66" s="233">
        <f t="shared" si="0"/>
        <v>4183298.5106899953</v>
      </c>
      <c r="X66" s="232">
        <v>390</v>
      </c>
      <c r="Y66" s="232">
        <v>0</v>
      </c>
      <c r="Z66" s="234">
        <v>1.4E-2</v>
      </c>
      <c r="AA66" s="232">
        <v>166</v>
      </c>
      <c r="AB66" s="232">
        <v>83</v>
      </c>
      <c r="AC66" s="232" t="s">
        <v>566</v>
      </c>
      <c r="AD66" s="232" t="s">
        <v>566</v>
      </c>
      <c r="AE66" s="430">
        <v>0</v>
      </c>
    </row>
    <row r="67" spans="1:31" x14ac:dyDescent="0.25">
      <c r="A67" s="108">
        <v>5503</v>
      </c>
      <c r="B67" s="226" t="s">
        <v>164</v>
      </c>
      <c r="C67" s="368">
        <v>1327</v>
      </c>
      <c r="D67" s="371">
        <v>67</v>
      </c>
      <c r="E67" s="235">
        <v>1.2</v>
      </c>
      <c r="F67" s="231">
        <v>3103743.2</v>
      </c>
      <c r="G67" s="232">
        <v>621308.28</v>
      </c>
      <c r="H67" s="232">
        <v>3049093.5</v>
      </c>
      <c r="I67" s="232">
        <v>8763.75</v>
      </c>
      <c r="J67" s="232">
        <v>0</v>
      </c>
      <c r="K67" s="232">
        <v>3943.3</v>
      </c>
      <c r="L67" s="232">
        <v>-36346.620000000003</v>
      </c>
      <c r="M67" s="232"/>
      <c r="N67" s="425">
        <f>Paramètres!$K$20/(Données!$H$302+Données!$I$302)*(Données!H67+Données!I67)</f>
        <v>290732.37747350876</v>
      </c>
      <c r="O67" s="232">
        <v>633694.55000000005</v>
      </c>
      <c r="P67" s="232">
        <v>89960.51</v>
      </c>
      <c r="Q67" s="232">
        <v>66106.850000000006</v>
      </c>
      <c r="R67" s="232">
        <v>-17410.849999999999</v>
      </c>
      <c r="S67" s="232">
        <v>73849.899999999994</v>
      </c>
      <c r="T67" s="232">
        <v>4645.5</v>
      </c>
      <c r="U67" s="232">
        <v>69896</v>
      </c>
      <c r="V67" s="232">
        <v>333874.40000000002</v>
      </c>
      <c r="W67" s="233">
        <f t="shared" si="0"/>
        <v>8295854.6474735094</v>
      </c>
      <c r="X67" s="232">
        <v>535</v>
      </c>
      <c r="Y67" s="232">
        <v>0</v>
      </c>
      <c r="Z67" s="234">
        <v>6.4000000000000001E-2</v>
      </c>
      <c r="AA67" s="232">
        <v>159</v>
      </c>
      <c r="AB67" s="232">
        <v>78</v>
      </c>
      <c r="AC67" s="232" t="s">
        <v>566</v>
      </c>
      <c r="AD67" s="232" t="s">
        <v>566</v>
      </c>
      <c r="AE67" s="430">
        <v>0</v>
      </c>
    </row>
    <row r="68" spans="1:31" x14ac:dyDescent="0.25">
      <c r="A68" s="108">
        <v>5511</v>
      </c>
      <c r="B68" s="226" t="s">
        <v>165</v>
      </c>
      <c r="C68" s="368">
        <v>1747</v>
      </c>
      <c r="D68" s="371">
        <v>70</v>
      </c>
      <c r="E68" s="235">
        <v>1</v>
      </c>
      <c r="F68" s="231">
        <v>3630211.33</v>
      </c>
      <c r="G68" s="232">
        <v>612843.73</v>
      </c>
      <c r="H68" s="232">
        <v>384808.35</v>
      </c>
      <c r="I68" s="232">
        <v>58773.35</v>
      </c>
      <c r="J68" s="232">
        <v>0</v>
      </c>
      <c r="K68" s="232">
        <v>50690.65</v>
      </c>
      <c r="L68" s="232">
        <v>-54165.99</v>
      </c>
      <c r="M68" s="232"/>
      <c r="N68" s="425">
        <f>Paramètres!$K$20/(Données!$H$302+Données!$I$302)*(Données!H68+Données!I68)</f>
        <v>42174.487460047625</v>
      </c>
      <c r="O68" s="232">
        <v>432845.65</v>
      </c>
      <c r="P68" s="232">
        <v>81576.570000000007</v>
      </c>
      <c r="Q68" s="232">
        <v>21205.55</v>
      </c>
      <c r="R68" s="232">
        <v>-4185</v>
      </c>
      <c r="S68" s="232">
        <v>117897</v>
      </c>
      <c r="T68" s="232">
        <v>21018.400000000001</v>
      </c>
      <c r="U68" s="232">
        <v>63121.1</v>
      </c>
      <c r="V68" s="232">
        <v>461159.8</v>
      </c>
      <c r="W68" s="233">
        <f t="shared" si="0"/>
        <v>5919974.9774600482</v>
      </c>
      <c r="X68" s="232">
        <v>834</v>
      </c>
      <c r="Y68" s="232">
        <v>0</v>
      </c>
      <c r="Z68" s="234">
        <v>0.02</v>
      </c>
      <c r="AA68" s="232">
        <v>215</v>
      </c>
      <c r="AB68" s="232">
        <v>120</v>
      </c>
      <c r="AC68" s="232" t="s">
        <v>566</v>
      </c>
      <c r="AD68" s="232" t="s">
        <v>566</v>
      </c>
      <c r="AE68" s="430">
        <v>0</v>
      </c>
    </row>
    <row r="69" spans="1:31" x14ac:dyDescent="0.25">
      <c r="A69" s="108">
        <v>5512</v>
      </c>
      <c r="B69" s="226" t="s">
        <v>166</v>
      </c>
      <c r="C69" s="368">
        <v>1359</v>
      </c>
      <c r="D69" s="371">
        <v>79</v>
      </c>
      <c r="E69" s="235">
        <v>1</v>
      </c>
      <c r="F69" s="231">
        <v>2588002.89</v>
      </c>
      <c r="G69" s="232">
        <v>394577.28</v>
      </c>
      <c r="H69" s="232">
        <v>25291.9</v>
      </c>
      <c r="I69" s="232">
        <v>975.5</v>
      </c>
      <c r="J69" s="232">
        <v>0</v>
      </c>
      <c r="K69" s="232">
        <v>11375.73</v>
      </c>
      <c r="L69" s="232">
        <v>-20166.12</v>
      </c>
      <c r="M69" s="232"/>
      <c r="N69" s="425">
        <f>Paramètres!$K$20/(Données!$H$302+Données!$I$302)*(Données!H69+Données!I69)</f>
        <v>2497.4297449783326</v>
      </c>
      <c r="O69" s="232">
        <v>300368.7</v>
      </c>
      <c r="P69" s="232">
        <v>32386.639999999999</v>
      </c>
      <c r="Q69" s="232">
        <v>15275.85</v>
      </c>
      <c r="R69" s="232">
        <v>-205.9</v>
      </c>
      <c r="S69" s="232">
        <v>184219.75</v>
      </c>
      <c r="T69" s="232">
        <v>620.79999999999995</v>
      </c>
      <c r="U69" s="232">
        <v>211187.55</v>
      </c>
      <c r="V69" s="232">
        <v>81237.350000000006</v>
      </c>
      <c r="W69" s="233">
        <f t="shared" si="0"/>
        <v>3827645.3497449784</v>
      </c>
      <c r="X69" s="232">
        <v>422</v>
      </c>
      <c r="Y69" s="232">
        <v>0</v>
      </c>
      <c r="Z69" s="234">
        <v>0.121</v>
      </c>
      <c r="AA69" s="232">
        <v>184</v>
      </c>
      <c r="AB69" s="232">
        <v>8</v>
      </c>
      <c r="AC69" s="232" t="s">
        <v>566</v>
      </c>
      <c r="AD69" s="232" t="s">
        <v>566</v>
      </c>
      <c r="AE69" s="430">
        <v>0</v>
      </c>
    </row>
    <row r="70" spans="1:31" x14ac:dyDescent="0.25">
      <c r="A70" s="108">
        <v>5514</v>
      </c>
      <c r="B70" s="226" t="s">
        <v>167</v>
      </c>
      <c r="C70" s="368">
        <v>1389</v>
      </c>
      <c r="D70" s="371">
        <v>72.5</v>
      </c>
      <c r="E70" s="235">
        <v>1</v>
      </c>
      <c r="F70" s="231">
        <v>2624572.62</v>
      </c>
      <c r="G70" s="232">
        <v>371137.06</v>
      </c>
      <c r="H70" s="232">
        <v>48215.6</v>
      </c>
      <c r="I70" s="232">
        <v>7658.15</v>
      </c>
      <c r="J70" s="232">
        <v>45412.1</v>
      </c>
      <c r="K70" s="232">
        <v>1805.7</v>
      </c>
      <c r="L70" s="232">
        <v>-80584.39</v>
      </c>
      <c r="M70" s="232"/>
      <c r="N70" s="425">
        <f>Paramètres!$K$20/(Données!$H$302+Données!$I$302)*(Données!H70+Données!I70)</f>
        <v>5312.3173672873254</v>
      </c>
      <c r="O70" s="232">
        <v>259192.2</v>
      </c>
      <c r="P70" s="232">
        <v>66656.52</v>
      </c>
      <c r="Q70" s="232">
        <v>15746</v>
      </c>
      <c r="R70" s="232">
        <v>-4173.8999999999996</v>
      </c>
      <c r="S70" s="232">
        <v>111726.45</v>
      </c>
      <c r="T70" s="232">
        <v>14695.1</v>
      </c>
      <c r="U70" s="232">
        <v>81855.649999999994</v>
      </c>
      <c r="V70" s="232">
        <v>16838.75</v>
      </c>
      <c r="W70" s="233">
        <f t="shared" si="0"/>
        <v>3586065.9273672882</v>
      </c>
      <c r="X70" s="232">
        <v>691</v>
      </c>
      <c r="Y70" s="232">
        <v>1010</v>
      </c>
      <c r="Z70" s="234">
        <v>6.3E-2</v>
      </c>
      <c r="AA70" s="232">
        <v>194</v>
      </c>
      <c r="AB70" s="232">
        <v>103</v>
      </c>
      <c r="AC70" s="232" t="s">
        <v>566</v>
      </c>
      <c r="AD70" s="232" t="s">
        <v>566</v>
      </c>
      <c r="AE70" s="430">
        <v>0</v>
      </c>
    </row>
    <row r="71" spans="1:31" x14ac:dyDescent="0.25">
      <c r="A71" s="108">
        <v>5515</v>
      </c>
      <c r="B71" s="226" t="s">
        <v>168</v>
      </c>
      <c r="C71" s="368">
        <v>893</v>
      </c>
      <c r="D71" s="371">
        <v>76</v>
      </c>
      <c r="E71" s="235">
        <v>1</v>
      </c>
      <c r="F71" s="231">
        <v>1843777.86</v>
      </c>
      <c r="G71" s="232">
        <v>251851.59</v>
      </c>
      <c r="H71" s="232">
        <v>54153.45</v>
      </c>
      <c r="I71" s="232">
        <v>10655</v>
      </c>
      <c r="J71" s="232">
        <v>0</v>
      </c>
      <c r="K71" s="232">
        <v>2648.64</v>
      </c>
      <c r="L71" s="232">
        <v>-40663.599999999999</v>
      </c>
      <c r="M71" s="232"/>
      <c r="N71" s="425">
        <f>Paramètres!$K$20/(Données!$H$302+Données!$I$302)*(Données!H71+Données!I71)</f>
        <v>6161.8032525465405</v>
      </c>
      <c r="O71" s="232">
        <v>193242.05</v>
      </c>
      <c r="P71" s="232">
        <v>21794.01</v>
      </c>
      <c r="Q71" s="232">
        <v>18224.55</v>
      </c>
      <c r="R71" s="232">
        <v>-365.05</v>
      </c>
      <c r="S71" s="232">
        <v>44110</v>
      </c>
      <c r="T71" s="232">
        <v>0</v>
      </c>
      <c r="U71" s="232">
        <v>80017.149999999994</v>
      </c>
      <c r="V71" s="232">
        <v>31578.15</v>
      </c>
      <c r="W71" s="233">
        <f t="shared" si="0"/>
        <v>2517185.6032525464</v>
      </c>
      <c r="X71" s="232">
        <v>283</v>
      </c>
      <c r="Y71" s="232">
        <v>2</v>
      </c>
      <c r="Z71" s="234">
        <v>9.0999999999999998E-2</v>
      </c>
      <c r="AA71" s="232">
        <v>116</v>
      </c>
      <c r="AB71" s="232">
        <v>25</v>
      </c>
      <c r="AC71" s="232" t="s">
        <v>566</v>
      </c>
      <c r="AD71" s="232" t="s">
        <v>566</v>
      </c>
      <c r="AE71" s="430">
        <v>0</v>
      </c>
    </row>
    <row r="72" spans="1:31" x14ac:dyDescent="0.25">
      <c r="A72" s="108">
        <v>5516</v>
      </c>
      <c r="B72" s="226" t="s">
        <v>169</v>
      </c>
      <c r="C72" s="368">
        <v>2824</v>
      </c>
      <c r="D72" s="371">
        <v>76</v>
      </c>
      <c r="E72" s="235">
        <v>1.2</v>
      </c>
      <c r="F72" s="231">
        <v>6293187.25</v>
      </c>
      <c r="G72" s="232">
        <v>900285.9</v>
      </c>
      <c r="H72" s="232">
        <v>318852.40000000002</v>
      </c>
      <c r="I72" s="232">
        <v>8864.9500000000007</v>
      </c>
      <c r="J72" s="232">
        <v>70513.03</v>
      </c>
      <c r="K72" s="232">
        <v>44105.38</v>
      </c>
      <c r="L72" s="232">
        <v>-140770.29</v>
      </c>
      <c r="M72" s="232"/>
      <c r="N72" s="425">
        <f>Paramètres!$K$20/(Données!$H$302+Données!$I$302)*(Données!H72+Données!I72)</f>
        <v>31158.434326788145</v>
      </c>
      <c r="O72" s="232">
        <v>791201.85</v>
      </c>
      <c r="P72" s="232">
        <v>185283.33</v>
      </c>
      <c r="Q72" s="232">
        <v>57859</v>
      </c>
      <c r="R72" s="232">
        <v>-5449.05</v>
      </c>
      <c r="S72" s="232">
        <v>273364.2</v>
      </c>
      <c r="T72" s="232">
        <v>10104.200000000001</v>
      </c>
      <c r="U72" s="232">
        <v>260229.35</v>
      </c>
      <c r="V72" s="232">
        <v>115755.75</v>
      </c>
      <c r="W72" s="233">
        <f t="shared" si="0"/>
        <v>9214545.6843267865</v>
      </c>
      <c r="X72" s="232">
        <v>291</v>
      </c>
      <c r="Y72" s="232">
        <v>28</v>
      </c>
      <c r="Z72" s="234">
        <v>7.1999999999999995E-2</v>
      </c>
      <c r="AA72" s="232">
        <v>350</v>
      </c>
      <c r="AB72" s="232">
        <v>42</v>
      </c>
      <c r="AC72" s="232" t="s">
        <v>566</v>
      </c>
      <c r="AD72" s="232" t="s">
        <v>566</v>
      </c>
      <c r="AE72" s="430">
        <v>0</v>
      </c>
    </row>
    <row r="73" spans="1:31" x14ac:dyDescent="0.25">
      <c r="A73" s="108">
        <v>5518</v>
      </c>
      <c r="B73" s="226" t="s">
        <v>170</v>
      </c>
      <c r="C73" s="368">
        <v>6816</v>
      </c>
      <c r="D73" s="371">
        <v>72.5</v>
      </c>
      <c r="E73" s="235">
        <v>1</v>
      </c>
      <c r="F73" s="231">
        <v>11849472.27</v>
      </c>
      <c r="G73" s="232">
        <v>1358456.84</v>
      </c>
      <c r="H73" s="232">
        <v>867702.4</v>
      </c>
      <c r="I73" s="232">
        <v>29114.9</v>
      </c>
      <c r="J73" s="232">
        <v>0</v>
      </c>
      <c r="K73" s="232">
        <v>40228.65</v>
      </c>
      <c r="L73" s="232">
        <v>-839944.38</v>
      </c>
      <c r="M73" s="232"/>
      <c r="N73" s="425">
        <f>Paramètres!$K$20/(Données!$H$302+Données!$I$302)*(Données!H73+Données!I73)</f>
        <v>85266.840297523042</v>
      </c>
      <c r="O73" s="232">
        <v>1268333.95</v>
      </c>
      <c r="P73" s="232">
        <v>287579.09999999998</v>
      </c>
      <c r="Q73" s="232">
        <v>91865.35</v>
      </c>
      <c r="R73" s="232">
        <v>-1849.4</v>
      </c>
      <c r="S73" s="232">
        <v>610753.75</v>
      </c>
      <c r="T73" s="232">
        <v>30429.4</v>
      </c>
      <c r="U73" s="232">
        <v>461961.15</v>
      </c>
      <c r="V73" s="232">
        <v>350836.7</v>
      </c>
      <c r="W73" s="233">
        <f t="shared" ref="W73:W136" si="1">SUM(F73:V73)</f>
        <v>16490207.520297522</v>
      </c>
      <c r="X73" s="232">
        <v>658</v>
      </c>
      <c r="Y73" s="232">
        <v>0</v>
      </c>
      <c r="Z73" s="234">
        <v>3.2000000000000001E-2</v>
      </c>
      <c r="AA73" s="232">
        <v>840</v>
      </c>
      <c r="AB73" s="232">
        <v>18</v>
      </c>
      <c r="AC73" s="232" t="s">
        <v>566</v>
      </c>
      <c r="AD73" s="232" t="s">
        <v>566</v>
      </c>
      <c r="AE73" s="430">
        <v>0</v>
      </c>
    </row>
    <row r="74" spans="1:31" x14ac:dyDescent="0.25">
      <c r="A74" s="108">
        <v>5520</v>
      </c>
      <c r="B74" s="226" t="s">
        <v>171</v>
      </c>
      <c r="C74" s="368">
        <v>1183</v>
      </c>
      <c r="D74" s="371">
        <v>72</v>
      </c>
      <c r="E74" s="235">
        <v>1</v>
      </c>
      <c r="F74" s="231">
        <v>2042783.45</v>
      </c>
      <c r="G74" s="232">
        <v>318912.61</v>
      </c>
      <c r="H74" s="232">
        <v>126932.05</v>
      </c>
      <c r="I74" s="232">
        <v>2277.1</v>
      </c>
      <c r="J74" s="232">
        <v>0</v>
      </c>
      <c r="K74" s="232">
        <v>1565.96</v>
      </c>
      <c r="L74" s="232">
        <v>-50944.53</v>
      </c>
      <c r="M74" s="232"/>
      <c r="N74" s="425">
        <f>Paramètres!$K$20/(Données!$H$302+Données!$I$302)*(Données!H74+Données!I74)</f>
        <v>12284.838793842067</v>
      </c>
      <c r="O74" s="232">
        <v>234124.6</v>
      </c>
      <c r="P74" s="232">
        <v>-282.10000000000002</v>
      </c>
      <c r="Q74" s="232">
        <v>8950.1</v>
      </c>
      <c r="R74" s="232">
        <v>-1022.8</v>
      </c>
      <c r="S74" s="232">
        <v>140377.1</v>
      </c>
      <c r="T74" s="232">
        <v>12738.4</v>
      </c>
      <c r="U74" s="232">
        <v>80895.899999999994</v>
      </c>
      <c r="V74" s="232">
        <v>16066.15</v>
      </c>
      <c r="W74" s="233">
        <f t="shared" si="1"/>
        <v>2945658.8287938423</v>
      </c>
      <c r="X74" s="232">
        <v>971</v>
      </c>
      <c r="Y74" s="232">
        <v>0</v>
      </c>
      <c r="Z74" s="234">
        <v>5.7000000000000002E-2</v>
      </c>
      <c r="AA74" s="232">
        <v>180</v>
      </c>
      <c r="AB74" s="232">
        <v>110</v>
      </c>
      <c r="AC74" s="232" t="s">
        <v>566</v>
      </c>
      <c r="AD74" s="232" t="s">
        <v>566</v>
      </c>
      <c r="AE74" s="430">
        <v>0</v>
      </c>
    </row>
    <row r="75" spans="1:31" x14ac:dyDescent="0.25">
      <c r="A75" s="108">
        <v>5521</v>
      </c>
      <c r="B75" s="226" t="s">
        <v>172</v>
      </c>
      <c r="C75" s="368">
        <v>1168</v>
      </c>
      <c r="D75" s="371">
        <v>73</v>
      </c>
      <c r="E75" s="235">
        <v>1</v>
      </c>
      <c r="F75" s="231">
        <v>2360247.9300000002</v>
      </c>
      <c r="G75" s="232">
        <v>288158.42</v>
      </c>
      <c r="H75" s="232">
        <v>128241.75</v>
      </c>
      <c r="I75" s="232">
        <v>17268.95</v>
      </c>
      <c r="J75" s="232">
        <v>0</v>
      </c>
      <c r="K75" s="232">
        <v>7177.2</v>
      </c>
      <c r="L75" s="232">
        <v>-18003.099999999999</v>
      </c>
      <c r="M75" s="232"/>
      <c r="N75" s="425">
        <f>Paramètres!$K$20/(Données!$H$302+Données!$I$302)*(Données!H75+Données!I75)</f>
        <v>13834.743841895986</v>
      </c>
      <c r="O75" s="232">
        <v>294063.95</v>
      </c>
      <c r="P75" s="232">
        <v>81781.91</v>
      </c>
      <c r="Q75" s="232">
        <v>20903.400000000001</v>
      </c>
      <c r="R75" s="232">
        <v>-2042.35</v>
      </c>
      <c r="S75" s="232">
        <v>66023.600000000006</v>
      </c>
      <c r="T75" s="232">
        <v>0</v>
      </c>
      <c r="U75" s="232">
        <v>33749.85</v>
      </c>
      <c r="V75" s="232">
        <v>117657.7</v>
      </c>
      <c r="W75" s="233">
        <f t="shared" si="1"/>
        <v>3409063.9538418967</v>
      </c>
      <c r="X75" s="232">
        <v>376</v>
      </c>
      <c r="Y75" s="232">
        <v>0</v>
      </c>
      <c r="Z75" s="234">
        <v>1.2999999999999999E-2</v>
      </c>
      <c r="AA75" s="232">
        <v>130</v>
      </c>
      <c r="AB75" s="232">
        <v>44</v>
      </c>
      <c r="AC75" s="232" t="s">
        <v>566</v>
      </c>
      <c r="AD75" s="232" t="s">
        <v>566</v>
      </c>
      <c r="AE75" s="430">
        <v>0</v>
      </c>
    </row>
    <row r="76" spans="1:31" x14ac:dyDescent="0.25">
      <c r="A76" s="108">
        <v>5522</v>
      </c>
      <c r="B76" s="226" t="s">
        <v>173</v>
      </c>
      <c r="C76" s="368">
        <v>791</v>
      </c>
      <c r="D76" s="371">
        <v>75</v>
      </c>
      <c r="E76" s="235">
        <v>1</v>
      </c>
      <c r="F76" s="231">
        <v>1460614.45</v>
      </c>
      <c r="G76" s="232">
        <v>191810.02</v>
      </c>
      <c r="H76" s="232">
        <v>16461.7</v>
      </c>
      <c r="I76" s="232">
        <v>4682.3999999999996</v>
      </c>
      <c r="J76" s="232">
        <v>0</v>
      </c>
      <c r="K76" s="232">
        <v>7636.22</v>
      </c>
      <c r="L76" s="232">
        <v>-24145.11</v>
      </c>
      <c r="M76" s="232"/>
      <c r="N76" s="425">
        <f>Paramètres!$K$20/(Données!$H$302+Données!$I$302)*(Données!H76+Données!I76)</f>
        <v>2010.3209404355343</v>
      </c>
      <c r="O76" s="232">
        <v>155576.15</v>
      </c>
      <c r="P76" s="232">
        <v>6337.39</v>
      </c>
      <c r="Q76" s="232">
        <v>5510.9</v>
      </c>
      <c r="R76" s="232">
        <v>0</v>
      </c>
      <c r="S76" s="232">
        <v>74393.5</v>
      </c>
      <c r="T76" s="232">
        <v>26.2</v>
      </c>
      <c r="U76" s="232">
        <v>52986.25</v>
      </c>
      <c r="V76" s="232">
        <v>35588.449999999997</v>
      </c>
      <c r="W76" s="233">
        <f t="shared" si="1"/>
        <v>1989488.840940435</v>
      </c>
      <c r="X76" s="232">
        <v>741</v>
      </c>
      <c r="Y76" s="232">
        <v>0</v>
      </c>
      <c r="Z76" s="234">
        <v>7.0999999999999994E-2</v>
      </c>
      <c r="AA76" s="232">
        <v>111</v>
      </c>
      <c r="AB76" s="232">
        <v>107</v>
      </c>
      <c r="AC76" s="232" t="s">
        <v>566</v>
      </c>
      <c r="AD76" s="232" t="s">
        <v>566</v>
      </c>
      <c r="AE76" s="430">
        <v>0</v>
      </c>
    </row>
    <row r="77" spans="1:31" x14ac:dyDescent="0.25">
      <c r="A77" s="108">
        <v>5523</v>
      </c>
      <c r="B77" s="226" t="s">
        <v>174</v>
      </c>
      <c r="C77" s="368">
        <v>2713</v>
      </c>
      <c r="D77" s="371">
        <v>72</v>
      </c>
      <c r="E77" s="235">
        <v>1.25</v>
      </c>
      <c r="F77" s="231">
        <v>5184639.49</v>
      </c>
      <c r="G77" s="232">
        <v>658563.39</v>
      </c>
      <c r="H77" s="232">
        <v>28402.65</v>
      </c>
      <c r="I77" s="232">
        <v>-6345.85</v>
      </c>
      <c r="J77" s="232">
        <v>0</v>
      </c>
      <c r="K77" s="232">
        <v>5385.48</v>
      </c>
      <c r="L77" s="232">
        <v>-41946.02</v>
      </c>
      <c r="M77" s="232"/>
      <c r="N77" s="425">
        <f>Paramètres!$K$20/(Données!$H$302+Données!$I$302)*(Données!H77+Données!I77)</f>
        <v>2097.0978627134045</v>
      </c>
      <c r="O77" s="232">
        <v>703755.75</v>
      </c>
      <c r="P77" s="232">
        <v>37862.379999999997</v>
      </c>
      <c r="Q77" s="232">
        <v>25730.799999999999</v>
      </c>
      <c r="R77" s="232">
        <v>-7810.85</v>
      </c>
      <c r="S77" s="232">
        <v>233924.15</v>
      </c>
      <c r="T77" s="232">
        <v>0</v>
      </c>
      <c r="U77" s="232">
        <v>82453</v>
      </c>
      <c r="V77" s="232">
        <v>3451.85</v>
      </c>
      <c r="W77" s="233">
        <f t="shared" si="1"/>
        <v>6910163.3178627146</v>
      </c>
      <c r="X77" s="232">
        <v>703</v>
      </c>
      <c r="Y77" s="232">
        <v>2713</v>
      </c>
      <c r="Z77" s="234">
        <v>3.3000000000000002E-2</v>
      </c>
      <c r="AA77" s="232">
        <v>382</v>
      </c>
      <c r="AB77" s="232">
        <v>129</v>
      </c>
      <c r="AC77" s="232" t="s">
        <v>566</v>
      </c>
      <c r="AD77" s="232" t="s">
        <v>566</v>
      </c>
      <c r="AE77" s="430">
        <v>0</v>
      </c>
    </row>
    <row r="78" spans="1:31" x14ac:dyDescent="0.25">
      <c r="A78" s="108">
        <v>5527</v>
      </c>
      <c r="B78" s="226" t="s">
        <v>175</v>
      </c>
      <c r="C78" s="368">
        <v>1145</v>
      </c>
      <c r="D78" s="371">
        <v>74</v>
      </c>
      <c r="E78" s="235">
        <v>1</v>
      </c>
      <c r="F78" s="231">
        <v>2515634.67</v>
      </c>
      <c r="G78" s="232">
        <v>440226.89</v>
      </c>
      <c r="H78" s="232">
        <v>14664.3</v>
      </c>
      <c r="I78" s="232">
        <v>6418.45</v>
      </c>
      <c r="J78" s="232">
        <v>0</v>
      </c>
      <c r="K78" s="232">
        <v>4341.7700000000004</v>
      </c>
      <c r="L78" s="232">
        <v>-25231.599999999999</v>
      </c>
      <c r="M78" s="232"/>
      <c r="N78" s="425">
        <f>Paramètres!$K$20/(Données!$H$302+Données!$I$302)*(Données!H78+Données!I78)</f>
        <v>2004.487956780722</v>
      </c>
      <c r="O78" s="232">
        <v>253499.4</v>
      </c>
      <c r="P78" s="232">
        <v>29973.16</v>
      </c>
      <c r="Q78" s="232">
        <v>4157.75</v>
      </c>
      <c r="R78" s="232">
        <v>-794.25</v>
      </c>
      <c r="S78" s="232">
        <v>20411.650000000001</v>
      </c>
      <c r="T78" s="232">
        <v>0</v>
      </c>
      <c r="U78" s="232">
        <v>28666</v>
      </c>
      <c r="V78" s="232">
        <v>6635.45</v>
      </c>
      <c r="W78" s="233">
        <f t="shared" si="1"/>
        <v>3300608.1279567811</v>
      </c>
      <c r="X78" s="232">
        <v>368</v>
      </c>
      <c r="Y78" s="232">
        <v>0</v>
      </c>
      <c r="Z78" s="234">
        <v>5.1999999999999998E-2</v>
      </c>
      <c r="AA78" s="232">
        <v>162</v>
      </c>
      <c r="AB78" s="232">
        <v>11</v>
      </c>
      <c r="AC78" s="232" t="s">
        <v>566</v>
      </c>
      <c r="AD78" s="232" t="s">
        <v>566</v>
      </c>
      <c r="AE78" s="430">
        <v>0</v>
      </c>
    </row>
    <row r="79" spans="1:31" x14ac:dyDescent="0.25">
      <c r="A79" s="108">
        <v>5529</v>
      </c>
      <c r="B79" s="226" t="s">
        <v>176</v>
      </c>
      <c r="C79" s="368">
        <v>609</v>
      </c>
      <c r="D79" s="371">
        <v>71</v>
      </c>
      <c r="E79" s="235">
        <v>1</v>
      </c>
      <c r="F79" s="231">
        <v>1227835.17</v>
      </c>
      <c r="G79" s="232">
        <v>160200.98000000001</v>
      </c>
      <c r="H79" s="232">
        <v>79388.899999999994</v>
      </c>
      <c r="I79" s="232">
        <v>1778.5</v>
      </c>
      <c r="J79" s="232">
        <v>0</v>
      </c>
      <c r="K79" s="232">
        <v>269.37</v>
      </c>
      <c r="L79" s="232">
        <v>-30436.21</v>
      </c>
      <c r="M79" s="232"/>
      <c r="N79" s="425">
        <f>Paramètres!$K$20/(Données!$H$302+Données!$I$302)*(Données!H79+Données!I79)</f>
        <v>7717.1657294804309</v>
      </c>
      <c r="O79" s="232">
        <v>138496.95000000001</v>
      </c>
      <c r="P79" s="232">
        <v>18108.580000000002</v>
      </c>
      <c r="Q79" s="232">
        <v>5172.05</v>
      </c>
      <c r="R79" s="232">
        <v>-598.15</v>
      </c>
      <c r="S79" s="232">
        <v>72776</v>
      </c>
      <c r="T79" s="232">
        <v>0</v>
      </c>
      <c r="U79" s="232">
        <v>128895.2</v>
      </c>
      <c r="V79" s="232">
        <v>2488.6999999999998</v>
      </c>
      <c r="W79" s="233">
        <f t="shared" si="1"/>
        <v>1812093.2057294804</v>
      </c>
      <c r="X79" s="232">
        <v>588</v>
      </c>
      <c r="Y79" s="232">
        <v>0</v>
      </c>
      <c r="Z79" s="234">
        <v>3.4000000000000002E-2</v>
      </c>
      <c r="AA79" s="232">
        <v>77</v>
      </c>
      <c r="AB79" s="232">
        <v>55</v>
      </c>
      <c r="AC79" s="232" t="s">
        <v>566</v>
      </c>
      <c r="AD79" s="232" t="s">
        <v>566</v>
      </c>
      <c r="AE79" s="430">
        <v>0</v>
      </c>
    </row>
    <row r="80" spans="1:31" x14ac:dyDescent="0.25">
      <c r="A80" s="108">
        <v>5530</v>
      </c>
      <c r="B80" s="226" t="s">
        <v>177</v>
      </c>
      <c r="C80" s="368">
        <v>575</v>
      </c>
      <c r="D80" s="371">
        <v>76</v>
      </c>
      <c r="E80" s="235">
        <v>1.2</v>
      </c>
      <c r="F80" s="231">
        <v>1234239.8400000001</v>
      </c>
      <c r="G80" s="232">
        <v>149420.9</v>
      </c>
      <c r="H80" s="232">
        <v>12427.75</v>
      </c>
      <c r="I80" s="232">
        <v>6845.3</v>
      </c>
      <c r="J80" s="232">
        <v>0</v>
      </c>
      <c r="K80" s="232">
        <v>418.91</v>
      </c>
      <c r="L80" s="232">
        <v>-7437.56</v>
      </c>
      <c r="M80" s="232"/>
      <c r="N80" s="425">
        <f>Paramètres!$K$20/(Données!$H$302+Données!$I$302)*(Données!H80+Données!I80)</f>
        <v>1832.4268236085279</v>
      </c>
      <c r="O80" s="232">
        <v>140314.25</v>
      </c>
      <c r="P80" s="232">
        <v>-2574.86</v>
      </c>
      <c r="Q80" s="232">
        <v>1400</v>
      </c>
      <c r="R80" s="232">
        <v>-109.1</v>
      </c>
      <c r="S80" s="232">
        <v>60296.1</v>
      </c>
      <c r="T80" s="232">
        <v>3370.9</v>
      </c>
      <c r="U80" s="232">
        <v>59333.2</v>
      </c>
      <c r="V80" s="232">
        <v>16415.55</v>
      </c>
      <c r="W80" s="233">
        <f t="shared" si="1"/>
        <v>1676193.6068236083</v>
      </c>
      <c r="X80" s="232">
        <v>570</v>
      </c>
      <c r="Y80" s="232">
        <v>0</v>
      </c>
      <c r="Z80" s="234">
        <v>0.04</v>
      </c>
      <c r="AA80" s="232">
        <v>94</v>
      </c>
      <c r="AB80" s="232">
        <v>42</v>
      </c>
      <c r="AC80" s="232" t="s">
        <v>566</v>
      </c>
      <c r="AD80" s="232" t="s">
        <v>566</v>
      </c>
      <c r="AE80" s="430">
        <v>0</v>
      </c>
    </row>
    <row r="81" spans="1:31" x14ac:dyDescent="0.25">
      <c r="A81" s="108">
        <v>5531</v>
      </c>
      <c r="B81" s="226" t="s">
        <v>178</v>
      </c>
      <c r="C81" s="368">
        <v>446</v>
      </c>
      <c r="D81" s="371">
        <v>74</v>
      </c>
      <c r="E81" s="235">
        <v>1</v>
      </c>
      <c r="F81" s="231">
        <f>350325.91+400000</f>
        <v>750325.90999999992</v>
      </c>
      <c r="G81" s="232">
        <v>41543.730000000003</v>
      </c>
      <c r="H81" s="232">
        <v>18035.75</v>
      </c>
      <c r="I81" s="232">
        <v>1606.85</v>
      </c>
      <c r="J81" s="232">
        <v>0</v>
      </c>
      <c r="K81" s="232">
        <v>0</v>
      </c>
      <c r="L81" s="232">
        <v>-4379.67</v>
      </c>
      <c r="M81" s="232"/>
      <c r="N81" s="425">
        <f>Paramètres!$K$20/(Données!$H$302+Données!$I$302)*(Données!H81+Données!I81)</f>
        <v>1867.5625874167747</v>
      </c>
      <c r="O81" s="232">
        <v>95517.55</v>
      </c>
      <c r="P81" s="232">
        <v>12943.1</v>
      </c>
      <c r="Q81" s="232">
        <v>1739.3</v>
      </c>
      <c r="R81" s="232">
        <v>-1279.9000000000001</v>
      </c>
      <c r="S81" s="232">
        <v>60444</v>
      </c>
      <c r="T81" s="232">
        <v>0</v>
      </c>
      <c r="U81" s="232">
        <v>46244.7</v>
      </c>
      <c r="V81" s="232">
        <v>13583.5</v>
      </c>
      <c r="W81" s="233">
        <f t="shared" si="1"/>
        <v>1038192.3825874166</v>
      </c>
      <c r="X81" s="232">
        <v>570</v>
      </c>
      <c r="Y81" s="232">
        <v>0</v>
      </c>
      <c r="Z81" s="234">
        <v>0.03</v>
      </c>
      <c r="AA81" s="232">
        <v>58</v>
      </c>
      <c r="AB81" s="232">
        <v>58</v>
      </c>
      <c r="AC81" s="232" t="s">
        <v>566</v>
      </c>
      <c r="AD81" s="232" t="s">
        <v>566</v>
      </c>
      <c r="AE81" s="430">
        <v>0</v>
      </c>
    </row>
    <row r="82" spans="1:31" x14ac:dyDescent="0.25">
      <c r="A82" s="108">
        <v>5533</v>
      </c>
      <c r="B82" s="226" t="s">
        <v>179</v>
      </c>
      <c r="C82" s="368">
        <v>847</v>
      </c>
      <c r="D82" s="371">
        <v>73</v>
      </c>
      <c r="E82" s="235">
        <v>1</v>
      </c>
      <c r="F82" s="231">
        <v>1780465.26</v>
      </c>
      <c r="G82" s="232">
        <v>253087.61</v>
      </c>
      <c r="H82" s="232">
        <v>93477.25</v>
      </c>
      <c r="I82" s="232">
        <v>5581.85</v>
      </c>
      <c r="J82" s="232">
        <v>0</v>
      </c>
      <c r="K82" s="232">
        <v>258.41000000000003</v>
      </c>
      <c r="L82" s="232">
        <v>-15460.01</v>
      </c>
      <c r="M82" s="232"/>
      <c r="N82" s="425">
        <f>Paramètres!$K$20/(Données!$H$302+Données!$I$302)*(Données!H82+Données!I82)</f>
        <v>9418.2577206264468</v>
      </c>
      <c r="O82" s="232">
        <v>170028.35</v>
      </c>
      <c r="P82" s="232">
        <v>58419.72</v>
      </c>
      <c r="Q82" s="232">
        <v>9481.15</v>
      </c>
      <c r="R82" s="232">
        <v>-261.39999999999998</v>
      </c>
      <c r="S82" s="232">
        <v>130729.7</v>
      </c>
      <c r="T82" s="232">
        <v>135</v>
      </c>
      <c r="U82" s="232">
        <v>109006.6</v>
      </c>
      <c r="V82" s="232">
        <v>28726.05</v>
      </c>
      <c r="W82" s="233">
        <f t="shared" si="1"/>
        <v>2633093.7977206274</v>
      </c>
      <c r="X82" s="232">
        <v>498</v>
      </c>
      <c r="Y82" s="232">
        <v>711</v>
      </c>
      <c r="Z82" s="234">
        <v>5.3999999999999999E-2</v>
      </c>
      <c r="AA82" s="232">
        <v>133</v>
      </c>
      <c r="AB82" s="232">
        <v>46</v>
      </c>
      <c r="AC82" s="232" t="s">
        <v>566</v>
      </c>
      <c r="AD82" s="232" t="s">
        <v>566</v>
      </c>
      <c r="AE82" s="430">
        <v>0</v>
      </c>
    </row>
    <row r="83" spans="1:31" x14ac:dyDescent="0.25">
      <c r="A83" s="108">
        <v>5534</v>
      </c>
      <c r="B83" s="226" t="s">
        <v>180</v>
      </c>
      <c r="C83" s="368">
        <v>302</v>
      </c>
      <c r="D83" s="371">
        <v>73</v>
      </c>
      <c r="E83" s="235">
        <v>1</v>
      </c>
      <c r="F83" s="231">
        <v>548447.9</v>
      </c>
      <c r="G83" s="232">
        <v>180307.49</v>
      </c>
      <c r="H83" s="232">
        <v>68938.45</v>
      </c>
      <c r="I83" s="232">
        <v>6141.85</v>
      </c>
      <c r="J83" s="232">
        <v>0</v>
      </c>
      <c r="K83" s="232">
        <v>693.83</v>
      </c>
      <c r="L83" s="232">
        <v>-2596.0100000000002</v>
      </c>
      <c r="M83" s="232"/>
      <c r="N83" s="425">
        <f>Paramètres!$K$20/(Données!$H$302+Données!$I$302)*(Données!H83+Données!I83)</f>
        <v>7138.4215598763749</v>
      </c>
      <c r="O83" s="232">
        <v>87066.5</v>
      </c>
      <c r="P83" s="232">
        <v>-327.66000000000003</v>
      </c>
      <c r="Q83" s="232">
        <v>864.3</v>
      </c>
      <c r="R83" s="232">
        <v>-31.15</v>
      </c>
      <c r="S83" s="232">
        <v>15103.15</v>
      </c>
      <c r="T83" s="232">
        <v>0</v>
      </c>
      <c r="U83" s="232">
        <v>21385.599999999999</v>
      </c>
      <c r="V83" s="232">
        <v>25162.05</v>
      </c>
      <c r="W83" s="233">
        <f t="shared" si="1"/>
        <v>958294.72155987634</v>
      </c>
      <c r="X83" s="232">
        <v>199</v>
      </c>
      <c r="Y83" s="232">
        <v>0</v>
      </c>
      <c r="Z83" s="234">
        <v>0.10100000000000001</v>
      </c>
      <c r="AA83" s="232">
        <v>36</v>
      </c>
      <c r="AB83" s="232">
        <v>1</v>
      </c>
      <c r="AC83" s="232" t="s">
        <v>566</v>
      </c>
      <c r="AD83" s="232" t="s">
        <v>566</v>
      </c>
      <c r="AE83" s="430">
        <v>0</v>
      </c>
    </row>
    <row r="84" spans="1:31" x14ac:dyDescent="0.25">
      <c r="A84" s="108">
        <v>5535</v>
      </c>
      <c r="B84" s="226" t="s">
        <v>181</v>
      </c>
      <c r="C84" s="368">
        <v>838</v>
      </c>
      <c r="D84" s="371">
        <v>75</v>
      </c>
      <c r="E84" s="235">
        <v>1</v>
      </c>
      <c r="F84" s="231">
        <v>1510821.79</v>
      </c>
      <c r="G84" s="232">
        <v>256417.59</v>
      </c>
      <c r="H84" s="232">
        <v>12705.8</v>
      </c>
      <c r="I84" s="232">
        <v>1388.95</v>
      </c>
      <c r="J84" s="232">
        <v>0</v>
      </c>
      <c r="K84" s="232">
        <v>524.71</v>
      </c>
      <c r="L84" s="232">
        <v>-8194.02</v>
      </c>
      <c r="M84" s="232"/>
      <c r="N84" s="425">
        <f>Paramètres!$K$20/(Données!$H$302+Données!$I$302)*(Données!H84+Données!I84)</f>
        <v>1340.0887753654092</v>
      </c>
      <c r="O84" s="232">
        <v>160725.20000000001</v>
      </c>
      <c r="P84" s="232">
        <v>7324.16</v>
      </c>
      <c r="Q84" s="232">
        <v>1739.3</v>
      </c>
      <c r="R84" s="232">
        <v>-656.7</v>
      </c>
      <c r="S84" s="232">
        <v>147630.20000000001</v>
      </c>
      <c r="T84" s="232">
        <v>0</v>
      </c>
      <c r="U84" s="232">
        <v>91236.6</v>
      </c>
      <c r="V84" s="232">
        <v>66337.25</v>
      </c>
      <c r="W84" s="233">
        <f t="shared" si="1"/>
        <v>2249340.9187753652</v>
      </c>
      <c r="X84" s="232">
        <v>412</v>
      </c>
      <c r="Y84" s="232">
        <v>0</v>
      </c>
      <c r="Z84" s="234">
        <v>2.3E-2</v>
      </c>
      <c r="AA84" s="232">
        <v>106</v>
      </c>
      <c r="AB84" s="232">
        <v>104</v>
      </c>
      <c r="AC84" s="232" t="s">
        <v>566</v>
      </c>
      <c r="AD84" s="232" t="s">
        <v>566</v>
      </c>
      <c r="AE84" s="430">
        <v>0</v>
      </c>
    </row>
    <row r="85" spans="1:31" x14ac:dyDescent="0.25">
      <c r="A85" s="108">
        <v>5537</v>
      </c>
      <c r="B85" s="226" t="s">
        <v>182</v>
      </c>
      <c r="C85" s="368">
        <v>1334</v>
      </c>
      <c r="D85" s="371">
        <v>76</v>
      </c>
      <c r="E85" s="235">
        <v>1</v>
      </c>
      <c r="F85" s="231">
        <v>2416515.2400000002</v>
      </c>
      <c r="G85" s="232">
        <v>301003.55</v>
      </c>
      <c r="H85" s="232">
        <v>64257.65</v>
      </c>
      <c r="I85" s="232">
        <v>2388.85</v>
      </c>
      <c r="J85" s="232">
        <v>0</v>
      </c>
      <c r="K85" s="232">
        <v>0</v>
      </c>
      <c r="L85" s="232">
        <v>-19313.62</v>
      </c>
      <c r="M85" s="232"/>
      <c r="N85" s="425">
        <f>Paramètres!$K$20/(Données!$H$302+Données!$I$302)*(Données!H85+Données!I85)</f>
        <v>6336.559823153355</v>
      </c>
      <c r="O85" s="232">
        <v>269453.5</v>
      </c>
      <c r="P85" s="232">
        <v>44416.3</v>
      </c>
      <c r="Q85" s="232">
        <v>6968.25</v>
      </c>
      <c r="R85" s="232">
        <v>-425.45</v>
      </c>
      <c r="S85" s="232">
        <v>107565</v>
      </c>
      <c r="T85" s="232">
        <v>14485.3</v>
      </c>
      <c r="U85" s="232">
        <v>103597.4</v>
      </c>
      <c r="V85" s="232">
        <v>11286.3</v>
      </c>
      <c r="W85" s="233">
        <f t="shared" si="1"/>
        <v>3328534.8298231526</v>
      </c>
      <c r="X85" s="232">
        <v>711</v>
      </c>
      <c r="Y85" s="232">
        <v>0</v>
      </c>
      <c r="Z85" s="234">
        <v>2.3E-2</v>
      </c>
      <c r="AA85" s="232">
        <v>205</v>
      </c>
      <c r="AB85" s="232">
        <v>25</v>
      </c>
      <c r="AC85" s="232" t="s">
        <v>566</v>
      </c>
      <c r="AD85" s="232" t="s">
        <v>566</v>
      </c>
      <c r="AE85" s="430">
        <v>0</v>
      </c>
    </row>
    <row r="86" spans="1:31" x14ac:dyDescent="0.25">
      <c r="A86" s="108">
        <v>5539</v>
      </c>
      <c r="B86" s="226" t="s">
        <v>183</v>
      </c>
      <c r="C86" s="368">
        <v>1113</v>
      </c>
      <c r="D86" s="371">
        <v>73.5</v>
      </c>
      <c r="E86" s="235">
        <v>0.8</v>
      </c>
      <c r="F86" s="231">
        <v>2248982.73</v>
      </c>
      <c r="G86" s="232">
        <v>260147.45</v>
      </c>
      <c r="H86" s="232">
        <v>22504.15</v>
      </c>
      <c r="I86" s="232">
        <v>2433.65</v>
      </c>
      <c r="J86" s="232">
        <v>0</v>
      </c>
      <c r="K86" s="232">
        <v>4212.42</v>
      </c>
      <c r="L86" s="232">
        <v>-52485.43</v>
      </c>
      <c r="M86" s="232"/>
      <c r="N86" s="425">
        <f>Paramètres!$K$20/(Données!$H$302+Données!$I$302)*(Données!H86+Données!I86)</f>
        <v>2371.0151554520303</v>
      </c>
      <c r="O86" s="232">
        <v>189543.55</v>
      </c>
      <c r="P86" s="232">
        <v>31897.75</v>
      </c>
      <c r="Q86" s="232">
        <v>6636.2</v>
      </c>
      <c r="R86" s="232">
        <v>-137.80000000000001</v>
      </c>
      <c r="S86" s="232">
        <v>126268.15</v>
      </c>
      <c r="T86" s="232">
        <v>0</v>
      </c>
      <c r="U86" s="232">
        <v>77291.8</v>
      </c>
      <c r="V86" s="232">
        <v>28846.45</v>
      </c>
      <c r="W86" s="233">
        <f t="shared" si="1"/>
        <v>2948512.0851554517</v>
      </c>
      <c r="X86" s="232">
        <v>895</v>
      </c>
      <c r="Y86" s="232">
        <v>0</v>
      </c>
      <c r="Z86" s="234">
        <v>0.02</v>
      </c>
      <c r="AA86" s="232">
        <v>172</v>
      </c>
      <c r="AB86" s="232">
        <v>172</v>
      </c>
      <c r="AC86" s="232" t="s">
        <v>566</v>
      </c>
      <c r="AD86" s="232" t="s">
        <v>566</v>
      </c>
      <c r="AE86" s="430">
        <v>0</v>
      </c>
    </row>
    <row r="87" spans="1:31" x14ac:dyDescent="0.25">
      <c r="A87" s="108">
        <v>5540</v>
      </c>
      <c r="B87" s="226" t="s">
        <v>184</v>
      </c>
      <c r="C87" s="368">
        <v>1856</v>
      </c>
      <c r="D87" s="371">
        <v>72.5</v>
      </c>
      <c r="E87" s="235">
        <v>0.8</v>
      </c>
      <c r="F87" s="231">
        <v>3579808.07</v>
      </c>
      <c r="G87" s="232">
        <v>622619.18999999994</v>
      </c>
      <c r="H87" s="232">
        <v>140218.70000000001</v>
      </c>
      <c r="I87" s="232">
        <v>10031.200000000001</v>
      </c>
      <c r="J87" s="232">
        <v>0</v>
      </c>
      <c r="K87" s="232">
        <v>14407.62</v>
      </c>
      <c r="L87" s="232">
        <v>-89187.58</v>
      </c>
      <c r="M87" s="232"/>
      <c r="N87" s="425">
        <f>Paramètres!$K$20/(Données!$H$302+Données!$I$302)*(Données!H87+Données!I87)</f>
        <v>14285.333509978909</v>
      </c>
      <c r="O87" s="232">
        <v>302081.34999999998</v>
      </c>
      <c r="P87" s="232">
        <v>72824.94</v>
      </c>
      <c r="Q87" s="232">
        <v>14558.5</v>
      </c>
      <c r="R87" s="232">
        <v>-1075.05</v>
      </c>
      <c r="S87" s="232">
        <v>197730.45</v>
      </c>
      <c r="T87" s="232">
        <v>0</v>
      </c>
      <c r="U87" s="232">
        <v>172210.95</v>
      </c>
      <c r="V87" s="232">
        <v>19515</v>
      </c>
      <c r="W87" s="233">
        <f t="shared" si="1"/>
        <v>5070028.6735099796</v>
      </c>
      <c r="X87" s="232">
        <v>1183</v>
      </c>
      <c r="Y87" s="232">
        <v>224</v>
      </c>
      <c r="Z87" s="234">
        <v>5.5E-2</v>
      </c>
      <c r="AA87" s="232">
        <v>222</v>
      </c>
      <c r="AB87" s="232">
        <v>131</v>
      </c>
      <c r="AC87" s="232" t="s">
        <v>566</v>
      </c>
      <c r="AD87" s="232" t="s">
        <v>566</v>
      </c>
      <c r="AE87" s="430">
        <v>0</v>
      </c>
    </row>
    <row r="88" spans="1:31" x14ac:dyDescent="0.25">
      <c r="A88" s="108">
        <v>5541</v>
      </c>
      <c r="B88" s="226" t="s">
        <v>185</v>
      </c>
      <c r="C88" s="368">
        <v>1251</v>
      </c>
      <c r="D88" s="371">
        <v>75.5</v>
      </c>
      <c r="E88" s="235">
        <v>1</v>
      </c>
      <c r="F88" s="231">
        <v>2414355.35</v>
      </c>
      <c r="G88" s="232">
        <v>354041.17</v>
      </c>
      <c r="H88" s="232">
        <v>8042.45</v>
      </c>
      <c r="I88" s="232">
        <v>7852.7</v>
      </c>
      <c r="J88" s="232">
        <v>0</v>
      </c>
      <c r="K88" s="232">
        <v>46596.97</v>
      </c>
      <c r="L88" s="232">
        <v>-35357.050000000003</v>
      </c>
      <c r="M88" s="232"/>
      <c r="N88" s="425">
        <f>Paramètres!$K$20/(Données!$H$302+Données!$I$302)*(Données!H88+Données!I88)</f>
        <v>1511.2656909664579</v>
      </c>
      <c r="O88" s="232">
        <v>249469.35</v>
      </c>
      <c r="P88" s="232">
        <v>37470.28</v>
      </c>
      <c r="Q88" s="232">
        <v>4053.95</v>
      </c>
      <c r="R88" s="232">
        <v>-150.15</v>
      </c>
      <c r="S88" s="232">
        <v>66636.05</v>
      </c>
      <c r="T88" s="232">
        <v>129994.6</v>
      </c>
      <c r="U88" s="232">
        <v>39896.300000000003</v>
      </c>
      <c r="V88" s="232">
        <v>17346.599999999999</v>
      </c>
      <c r="W88" s="233">
        <f t="shared" si="1"/>
        <v>3341759.8356909673</v>
      </c>
      <c r="X88" s="232">
        <v>1063</v>
      </c>
      <c r="Y88" s="232">
        <v>0</v>
      </c>
      <c r="Z88" s="234">
        <v>2.9000000000000001E-2</v>
      </c>
      <c r="AA88" s="232">
        <v>221</v>
      </c>
      <c r="AB88" s="232">
        <v>120</v>
      </c>
      <c r="AC88" s="232" t="s">
        <v>566</v>
      </c>
      <c r="AD88" s="232" t="s">
        <v>566</v>
      </c>
      <c r="AE88" s="430">
        <v>0</v>
      </c>
    </row>
    <row r="89" spans="1:31" x14ac:dyDescent="0.25">
      <c r="A89" s="108">
        <v>5551</v>
      </c>
      <c r="B89" s="226" t="s">
        <v>186</v>
      </c>
      <c r="C89" s="368">
        <v>517</v>
      </c>
      <c r="D89" s="371">
        <v>67</v>
      </c>
      <c r="E89" s="235">
        <v>1</v>
      </c>
      <c r="F89" s="231">
        <v>960154.15</v>
      </c>
      <c r="G89" s="232">
        <v>194502.16</v>
      </c>
      <c r="H89" s="232">
        <v>127950.65</v>
      </c>
      <c r="I89" s="232">
        <v>36890.25</v>
      </c>
      <c r="J89" s="232">
        <v>0</v>
      </c>
      <c r="K89" s="232">
        <v>0</v>
      </c>
      <c r="L89" s="232">
        <v>-7203.65</v>
      </c>
      <c r="M89" s="232"/>
      <c r="N89" s="425">
        <f>Paramètres!$K$20/(Données!$H$302+Données!$I$302)*(Données!H89+Données!I89)</f>
        <v>15672.604325094937</v>
      </c>
      <c r="O89" s="232">
        <v>126860.35</v>
      </c>
      <c r="P89" s="232">
        <v>3448.6</v>
      </c>
      <c r="Q89" s="232">
        <v>12501.2</v>
      </c>
      <c r="R89" s="232">
        <v>-91.5</v>
      </c>
      <c r="S89" s="232">
        <f>333140.6-220000</f>
        <v>113140.59999999998</v>
      </c>
      <c r="T89" s="232">
        <f>220888.7-220000</f>
        <v>888.70000000001164</v>
      </c>
      <c r="U89" s="232">
        <v>25024.55</v>
      </c>
      <c r="V89" s="232">
        <v>8203</v>
      </c>
      <c r="W89" s="233">
        <f t="shared" si="1"/>
        <v>1617941.6643250952</v>
      </c>
      <c r="X89" s="232">
        <v>741</v>
      </c>
      <c r="Y89" s="232">
        <v>23</v>
      </c>
      <c r="Z89" s="234">
        <v>0.155</v>
      </c>
      <c r="AA89" s="232">
        <v>53</v>
      </c>
      <c r="AB89" s="232">
        <v>30</v>
      </c>
      <c r="AC89" s="232" t="s">
        <v>566</v>
      </c>
      <c r="AD89" s="232" t="s">
        <v>566</v>
      </c>
      <c r="AE89" s="430">
        <v>0</v>
      </c>
    </row>
    <row r="90" spans="1:31" x14ac:dyDescent="0.25">
      <c r="A90" s="108">
        <v>5552</v>
      </c>
      <c r="B90" s="226" t="s">
        <v>187</v>
      </c>
      <c r="C90" s="368">
        <v>687</v>
      </c>
      <c r="D90" s="371">
        <v>72</v>
      </c>
      <c r="E90" s="235">
        <v>1</v>
      </c>
      <c r="F90" s="231">
        <v>997084.03</v>
      </c>
      <c r="G90" s="232">
        <v>276876.31</v>
      </c>
      <c r="H90" s="232">
        <v>59284.5</v>
      </c>
      <c r="I90" s="232">
        <v>2709.9</v>
      </c>
      <c r="J90" s="232">
        <v>0</v>
      </c>
      <c r="K90" s="232">
        <v>12855.69</v>
      </c>
      <c r="L90" s="232">
        <v>-51036.86</v>
      </c>
      <c r="M90" s="232"/>
      <c r="N90" s="425">
        <f>Paramètres!$K$20/(Données!$H$302+Données!$I$302)*(Données!H90+Données!I90)</f>
        <v>5894.2513755485788</v>
      </c>
      <c r="O90" s="232">
        <v>146632.15</v>
      </c>
      <c r="P90" s="232">
        <v>18429.05</v>
      </c>
      <c r="Q90" s="232">
        <v>-679.35</v>
      </c>
      <c r="R90" s="232">
        <v>-479.7</v>
      </c>
      <c r="S90" s="232">
        <v>88919.05</v>
      </c>
      <c r="T90" s="232">
        <v>101371.6</v>
      </c>
      <c r="U90" s="232">
        <v>75957.45</v>
      </c>
      <c r="V90" s="232">
        <v>101538.95</v>
      </c>
      <c r="W90" s="233">
        <f t="shared" si="1"/>
        <v>1835357.0213755483</v>
      </c>
      <c r="X90" s="232">
        <v>1681</v>
      </c>
      <c r="Y90" s="232">
        <v>687</v>
      </c>
      <c r="Z90" s="234">
        <v>0.16800000000000001</v>
      </c>
      <c r="AA90" s="232">
        <v>72</v>
      </c>
      <c r="AB90" s="232">
        <v>38</v>
      </c>
      <c r="AC90" s="232" t="s">
        <v>566</v>
      </c>
      <c r="AD90" s="232" t="s">
        <v>566</v>
      </c>
      <c r="AE90" s="430">
        <v>0</v>
      </c>
    </row>
    <row r="91" spans="1:31" x14ac:dyDescent="0.25">
      <c r="A91" s="108">
        <v>5553</v>
      </c>
      <c r="B91" s="226" t="s">
        <v>188</v>
      </c>
      <c r="C91" s="368">
        <v>1087</v>
      </c>
      <c r="D91" s="371">
        <v>65</v>
      </c>
      <c r="E91" s="235">
        <v>1</v>
      </c>
      <c r="F91" s="231">
        <v>1803309.09</v>
      </c>
      <c r="G91" s="232">
        <v>398433.63</v>
      </c>
      <c r="H91" s="232">
        <v>293014.75</v>
      </c>
      <c r="I91" s="232">
        <v>-2288.6</v>
      </c>
      <c r="J91" s="232">
        <v>0</v>
      </c>
      <c r="K91" s="232">
        <v>1651.92</v>
      </c>
      <c r="L91" s="232">
        <v>-14610.8</v>
      </c>
      <c r="M91" s="232"/>
      <c r="N91" s="425">
        <f>Paramètres!$K$20/(Données!$H$302+Données!$I$302)*(Données!H91+Données!I91)</f>
        <v>27641.416152837071</v>
      </c>
      <c r="O91" s="232">
        <v>260645.75</v>
      </c>
      <c r="P91" s="232">
        <v>30516.57</v>
      </c>
      <c r="Q91" s="232">
        <v>38097.050000000003</v>
      </c>
      <c r="R91" s="232">
        <v>-3250.35</v>
      </c>
      <c r="S91" s="232">
        <v>36049.300000000003</v>
      </c>
      <c r="T91" s="232">
        <v>0</v>
      </c>
      <c r="U91" s="232">
        <v>25029.200000000001</v>
      </c>
      <c r="V91" s="232">
        <v>257661.75</v>
      </c>
      <c r="W91" s="233">
        <f t="shared" si="1"/>
        <v>3151900.676152837</v>
      </c>
      <c r="X91" s="232">
        <v>385</v>
      </c>
      <c r="Y91" s="232">
        <v>0</v>
      </c>
      <c r="Z91" s="234">
        <v>6.5000000000000002E-2</v>
      </c>
      <c r="AA91" s="232">
        <v>117</v>
      </c>
      <c r="AB91" s="232">
        <v>61</v>
      </c>
      <c r="AC91" s="232" t="s">
        <v>566</v>
      </c>
      <c r="AD91" s="232" t="s">
        <v>566</v>
      </c>
      <c r="AE91" s="430">
        <v>0</v>
      </c>
    </row>
    <row r="92" spans="1:31" x14ac:dyDescent="0.25">
      <c r="A92" s="108">
        <v>5554</v>
      </c>
      <c r="B92" s="226" t="s">
        <v>189</v>
      </c>
      <c r="C92" s="368">
        <v>1035</v>
      </c>
      <c r="D92" s="371">
        <v>69</v>
      </c>
      <c r="E92" s="235">
        <v>1</v>
      </c>
      <c r="F92" s="231">
        <v>1840846.1</v>
      </c>
      <c r="G92" s="232">
        <v>314055.2</v>
      </c>
      <c r="H92" s="232">
        <v>-14801.6</v>
      </c>
      <c r="I92" s="232">
        <v>2306.15</v>
      </c>
      <c r="J92" s="232">
        <v>0</v>
      </c>
      <c r="K92" s="232">
        <v>26872.85</v>
      </c>
      <c r="L92" s="232">
        <v>-23344.85</v>
      </c>
      <c r="M92" s="232"/>
      <c r="N92" s="425">
        <f>Paramètres!$K$20/(Données!$H$302+Données!$I$302)*(Données!H92+Données!I92)</f>
        <v>-1188.0318762758973</v>
      </c>
      <c r="O92" s="232">
        <v>203467.1</v>
      </c>
      <c r="P92" s="232">
        <v>35538.03</v>
      </c>
      <c r="Q92" s="232">
        <v>5308</v>
      </c>
      <c r="R92" s="232">
        <v>-2232.1</v>
      </c>
      <c r="S92" s="232">
        <v>166660.35</v>
      </c>
      <c r="T92" s="232">
        <v>4771.6000000000004</v>
      </c>
      <c r="U92" s="232">
        <v>116899.6</v>
      </c>
      <c r="V92" s="232">
        <v>44698.85</v>
      </c>
      <c r="W92" s="233">
        <f t="shared" si="1"/>
        <v>2719857.2481237245</v>
      </c>
      <c r="X92" s="232">
        <v>1136</v>
      </c>
      <c r="Y92" s="232">
        <v>1</v>
      </c>
      <c r="Z92" s="234">
        <v>0.251</v>
      </c>
      <c r="AA92" s="232">
        <v>124</v>
      </c>
      <c r="AB92" s="232">
        <v>61</v>
      </c>
      <c r="AC92" s="232" t="s">
        <v>566</v>
      </c>
      <c r="AD92" s="232" t="s">
        <v>566</v>
      </c>
      <c r="AE92" s="430">
        <v>0</v>
      </c>
    </row>
    <row r="93" spans="1:31" x14ac:dyDescent="0.25">
      <c r="A93" s="108">
        <v>5555</v>
      </c>
      <c r="B93" s="226" t="s">
        <v>190</v>
      </c>
      <c r="C93" s="368">
        <v>439</v>
      </c>
      <c r="D93" s="371">
        <v>69</v>
      </c>
      <c r="E93" s="235">
        <v>1</v>
      </c>
      <c r="F93" s="231">
        <v>750376.85</v>
      </c>
      <c r="G93" s="232">
        <v>186079.15</v>
      </c>
      <c r="H93" s="232">
        <v>10110.35</v>
      </c>
      <c r="I93" s="232">
        <v>26035.1</v>
      </c>
      <c r="J93" s="232">
        <v>0</v>
      </c>
      <c r="K93" s="232">
        <v>58.02</v>
      </c>
      <c r="L93" s="232">
        <v>-15066.97</v>
      </c>
      <c r="M93" s="232"/>
      <c r="N93" s="425">
        <f>Paramètres!$K$20/(Données!$H$302+Données!$I$302)*(Données!H93+Données!I93)</f>
        <v>3436.6066674138688</v>
      </c>
      <c r="O93" s="232">
        <v>102725.45</v>
      </c>
      <c r="P93" s="232">
        <v>10901.46</v>
      </c>
      <c r="Q93" s="232">
        <v>2186.3000000000002</v>
      </c>
      <c r="R93" s="232">
        <v>-1579.9</v>
      </c>
      <c r="S93" s="232">
        <v>8421.5</v>
      </c>
      <c r="T93" s="232">
        <v>14749.5</v>
      </c>
      <c r="U93" s="232">
        <v>24339.1</v>
      </c>
      <c r="V93" s="232">
        <v>7296.7</v>
      </c>
      <c r="W93" s="233">
        <f t="shared" si="1"/>
        <v>1130069.2166674139</v>
      </c>
      <c r="X93" s="232">
        <v>405</v>
      </c>
      <c r="Y93" s="232">
        <v>0</v>
      </c>
      <c r="Z93" s="234">
        <v>0.23599999999999999</v>
      </c>
      <c r="AA93" s="232">
        <v>55</v>
      </c>
      <c r="AB93" s="232">
        <v>30</v>
      </c>
      <c r="AC93" s="232" t="s">
        <v>566</v>
      </c>
      <c r="AD93" s="232" t="s">
        <v>566</v>
      </c>
      <c r="AE93" s="430">
        <v>0</v>
      </c>
    </row>
    <row r="94" spans="1:31" x14ac:dyDescent="0.25">
      <c r="A94" s="108">
        <v>5556</v>
      </c>
      <c r="B94" s="226" t="s">
        <v>191</v>
      </c>
      <c r="C94" s="368">
        <v>421</v>
      </c>
      <c r="D94" s="371">
        <v>69</v>
      </c>
      <c r="E94" s="235">
        <v>1.2</v>
      </c>
      <c r="F94" s="231">
        <v>790161.76</v>
      </c>
      <c r="G94" s="232">
        <v>78917.08</v>
      </c>
      <c r="H94" s="232">
        <v>31680.400000000001</v>
      </c>
      <c r="I94" s="232">
        <v>847.5</v>
      </c>
      <c r="J94" s="232">
        <v>0</v>
      </c>
      <c r="K94" s="232">
        <v>0</v>
      </c>
      <c r="L94" s="232">
        <v>-164.38</v>
      </c>
      <c r="M94" s="232"/>
      <c r="N94" s="425">
        <f>Paramètres!$K$20/(Données!$H$302+Données!$I$302)*(Données!H94+Données!I94)</f>
        <v>3092.6602938121282</v>
      </c>
      <c r="O94" s="232">
        <v>94938.84</v>
      </c>
      <c r="P94" s="232">
        <v>3331.16</v>
      </c>
      <c r="Q94" s="232">
        <v>2161.65</v>
      </c>
      <c r="R94" s="232">
        <v>-24.25</v>
      </c>
      <c r="S94" s="232">
        <v>21285</v>
      </c>
      <c r="T94" s="232">
        <v>0</v>
      </c>
      <c r="U94" s="232">
        <v>24293.15</v>
      </c>
      <c r="V94" s="232">
        <v>0</v>
      </c>
      <c r="W94" s="233">
        <f t="shared" si="1"/>
        <v>1050520.5702938121</v>
      </c>
      <c r="X94" s="232">
        <v>679</v>
      </c>
      <c r="Y94" s="232">
        <v>0</v>
      </c>
      <c r="Z94" s="234">
        <v>0.249</v>
      </c>
      <c r="AA94" s="232">
        <v>56</v>
      </c>
      <c r="AB94" s="232">
        <v>37</v>
      </c>
      <c r="AC94" s="232" t="s">
        <v>566</v>
      </c>
      <c r="AD94" s="232" t="s">
        <v>566</v>
      </c>
      <c r="AE94" s="430">
        <v>0</v>
      </c>
    </row>
    <row r="95" spans="1:31" x14ac:dyDescent="0.25">
      <c r="A95" s="108">
        <v>5557</v>
      </c>
      <c r="B95" s="226" t="s">
        <v>192</v>
      </c>
      <c r="C95" s="368">
        <v>228</v>
      </c>
      <c r="D95" s="371">
        <v>72</v>
      </c>
      <c r="E95" s="235">
        <v>1</v>
      </c>
      <c r="F95" s="231">
        <v>367279.58</v>
      </c>
      <c r="G95" s="232">
        <v>51830.239999999998</v>
      </c>
      <c r="H95" s="232">
        <v>45.800000000000097</v>
      </c>
      <c r="I95" s="232">
        <v>873.95</v>
      </c>
      <c r="J95" s="232">
        <v>0</v>
      </c>
      <c r="K95" s="232">
        <v>2197.17</v>
      </c>
      <c r="L95" s="232">
        <v>-5088.46</v>
      </c>
      <c r="M95" s="232"/>
      <c r="N95" s="425">
        <f>Paramètres!$K$20/(Données!$H$302+Données!$I$302)*(Données!H95+Données!I95)</f>
        <v>87.44721624309301</v>
      </c>
      <c r="O95" s="232">
        <v>37920.300000000003</v>
      </c>
      <c r="P95" s="232">
        <v>1445.7</v>
      </c>
      <c r="Q95" s="232">
        <v>892.45</v>
      </c>
      <c r="R95" s="232">
        <v>-15.85</v>
      </c>
      <c r="S95" s="232">
        <v>314.14999999999998</v>
      </c>
      <c r="T95" s="232">
        <v>9309.2999999999993</v>
      </c>
      <c r="U95" s="232">
        <v>0</v>
      </c>
      <c r="V95" s="232">
        <v>0</v>
      </c>
      <c r="W95" s="233">
        <f t="shared" si="1"/>
        <v>467091.77721624309</v>
      </c>
      <c r="X95" s="232">
        <v>790</v>
      </c>
      <c r="Y95" s="232">
        <v>4</v>
      </c>
      <c r="Z95" s="234">
        <v>0.223</v>
      </c>
      <c r="AA95" s="232">
        <v>24</v>
      </c>
      <c r="AB95" s="232">
        <v>19</v>
      </c>
      <c r="AC95" s="232" t="s">
        <v>566</v>
      </c>
      <c r="AD95" s="232" t="s">
        <v>566</v>
      </c>
      <c r="AE95" s="430">
        <v>0</v>
      </c>
    </row>
    <row r="96" spans="1:31" x14ac:dyDescent="0.25">
      <c r="A96" s="108">
        <v>5559</v>
      </c>
      <c r="B96" s="226" t="s">
        <v>193</v>
      </c>
      <c r="C96" s="368">
        <v>464</v>
      </c>
      <c r="D96" s="371">
        <v>68</v>
      </c>
      <c r="E96" s="235">
        <v>1</v>
      </c>
      <c r="F96" s="231">
        <v>912649.65</v>
      </c>
      <c r="G96" s="232">
        <v>288586.46999999997</v>
      </c>
      <c r="H96" s="232">
        <v>254755.75</v>
      </c>
      <c r="I96" s="232">
        <v>10080.9</v>
      </c>
      <c r="J96" s="232">
        <v>0</v>
      </c>
      <c r="K96" s="232">
        <v>26224.27</v>
      </c>
      <c r="L96" s="232">
        <v>-32332.51</v>
      </c>
      <c r="M96" s="232"/>
      <c r="N96" s="425">
        <f>Paramètres!$K$20/(Données!$H$302+Données!$I$302)*(Données!H96+Données!I96)</f>
        <v>25179.91606593785</v>
      </c>
      <c r="O96" s="232">
        <v>103512.3</v>
      </c>
      <c r="P96" s="232">
        <v>6804.45</v>
      </c>
      <c r="Q96" s="232">
        <v>4390</v>
      </c>
      <c r="R96" s="232">
        <v>-311.05</v>
      </c>
      <c r="S96" s="232">
        <v>63143.8</v>
      </c>
      <c r="T96" s="232">
        <v>0</v>
      </c>
      <c r="U96" s="232">
        <v>79161.05</v>
      </c>
      <c r="V96" s="232">
        <v>8629.7999999999993</v>
      </c>
      <c r="W96" s="233">
        <f t="shared" si="1"/>
        <v>1750474.796065938</v>
      </c>
      <c r="X96" s="232">
        <v>473</v>
      </c>
      <c r="Y96" s="232">
        <v>0</v>
      </c>
      <c r="Z96" s="234">
        <v>0.08</v>
      </c>
      <c r="AA96" s="232">
        <v>52</v>
      </c>
      <c r="AB96" s="232">
        <v>34</v>
      </c>
      <c r="AC96" s="232" t="s">
        <v>566</v>
      </c>
      <c r="AD96" s="232" t="s">
        <v>566</v>
      </c>
      <c r="AE96" s="430">
        <v>0</v>
      </c>
    </row>
    <row r="97" spans="1:31" x14ac:dyDescent="0.25">
      <c r="A97" s="108">
        <v>5560</v>
      </c>
      <c r="B97" s="226" t="s">
        <v>194</v>
      </c>
      <c r="C97" s="368">
        <v>241</v>
      </c>
      <c r="D97" s="371">
        <v>71</v>
      </c>
      <c r="E97" s="235">
        <v>1</v>
      </c>
      <c r="F97" s="231">
        <v>365444.09</v>
      </c>
      <c r="G97" s="232">
        <v>67584.09</v>
      </c>
      <c r="H97" s="232">
        <v>2921.5</v>
      </c>
      <c r="I97" s="232">
        <v>1041.5</v>
      </c>
      <c r="J97" s="232">
        <v>0</v>
      </c>
      <c r="K97" s="232">
        <v>0</v>
      </c>
      <c r="L97" s="232">
        <v>-7441.62</v>
      </c>
      <c r="M97" s="232"/>
      <c r="N97" s="425">
        <f>Paramètres!$K$20/(Données!$H$302+Données!$I$302)*(Données!H97+Données!I97)</f>
        <v>376.79077789766518</v>
      </c>
      <c r="O97" s="232">
        <v>48741.7</v>
      </c>
      <c r="P97" s="232">
        <v>-1894.24</v>
      </c>
      <c r="Q97" s="232">
        <v>0</v>
      </c>
      <c r="R97" s="232">
        <v>0</v>
      </c>
      <c r="S97" s="232">
        <v>8922.35</v>
      </c>
      <c r="T97" s="232">
        <v>0</v>
      </c>
      <c r="U97" s="232">
        <v>11549.8</v>
      </c>
      <c r="V97" s="232">
        <v>0</v>
      </c>
      <c r="W97" s="233">
        <f t="shared" si="1"/>
        <v>497245.96077789768</v>
      </c>
      <c r="X97" s="232">
        <v>346</v>
      </c>
      <c r="Y97" s="232">
        <v>0</v>
      </c>
      <c r="Z97" s="234">
        <v>0.307</v>
      </c>
      <c r="AA97" s="232">
        <v>25</v>
      </c>
      <c r="AB97" s="232">
        <v>23</v>
      </c>
      <c r="AC97" s="232" t="s">
        <v>566</v>
      </c>
      <c r="AD97" s="232" t="s">
        <v>566</v>
      </c>
      <c r="AE97" s="430">
        <v>0</v>
      </c>
    </row>
    <row r="98" spans="1:31" x14ac:dyDescent="0.25">
      <c r="A98" s="108">
        <v>5561</v>
      </c>
      <c r="B98" s="226" t="s">
        <v>195</v>
      </c>
      <c r="C98" s="368">
        <v>3391</v>
      </c>
      <c r="D98" s="371">
        <v>69</v>
      </c>
      <c r="E98" s="235">
        <v>1</v>
      </c>
      <c r="F98" s="231">
        <v>6859644.1600000001</v>
      </c>
      <c r="G98" s="232">
        <v>1323048.03</v>
      </c>
      <c r="H98" s="232">
        <v>300076.45</v>
      </c>
      <c r="I98" s="232">
        <v>20846.5</v>
      </c>
      <c r="J98" s="232">
        <v>0</v>
      </c>
      <c r="K98" s="232">
        <v>29923.45</v>
      </c>
      <c r="L98" s="232">
        <v>-167982.81</v>
      </c>
      <c r="M98" s="232"/>
      <c r="N98" s="425">
        <f>Paramètres!$K$20/(Données!$H$302+Données!$I$302)*(Données!H98+Données!I98)</f>
        <v>30512.442083197962</v>
      </c>
      <c r="O98" s="232">
        <v>714057.1</v>
      </c>
      <c r="P98" s="232">
        <v>149055.43</v>
      </c>
      <c r="Q98" s="232">
        <v>49529.65</v>
      </c>
      <c r="R98" s="232">
        <v>-46160.93</v>
      </c>
      <c r="S98" s="232">
        <v>424922.2</v>
      </c>
      <c r="T98" s="232">
        <v>208160</v>
      </c>
      <c r="U98" s="232">
        <v>237624.2</v>
      </c>
      <c r="V98" s="232">
        <v>451823.1</v>
      </c>
      <c r="W98" s="233">
        <f t="shared" si="1"/>
        <v>10585078.972083196</v>
      </c>
      <c r="X98" s="232">
        <v>768</v>
      </c>
      <c r="Y98" s="232">
        <v>0</v>
      </c>
      <c r="Z98" s="234">
        <v>5.3999999999999999E-2</v>
      </c>
      <c r="AA98" s="232">
        <v>374</v>
      </c>
      <c r="AB98" s="232">
        <v>105</v>
      </c>
      <c r="AC98" s="232" t="s">
        <v>566</v>
      </c>
      <c r="AD98" s="232" t="s">
        <v>566</v>
      </c>
      <c r="AE98" s="430">
        <v>0</v>
      </c>
    </row>
    <row r="99" spans="1:31" x14ac:dyDescent="0.25">
      <c r="A99" s="108">
        <v>5562</v>
      </c>
      <c r="B99" s="226" t="s">
        <v>196</v>
      </c>
      <c r="C99" s="368">
        <v>137</v>
      </c>
      <c r="D99" s="371">
        <v>70</v>
      </c>
      <c r="E99" s="235">
        <v>1.2</v>
      </c>
      <c r="F99" s="231">
        <v>257166.82</v>
      </c>
      <c r="G99" s="232">
        <v>119462.49</v>
      </c>
      <c r="H99" s="232">
        <v>3572.2</v>
      </c>
      <c r="I99" s="232">
        <v>1112.25</v>
      </c>
      <c r="J99" s="232">
        <v>0</v>
      </c>
      <c r="K99" s="232">
        <v>0</v>
      </c>
      <c r="L99" s="232">
        <v>-7022.64</v>
      </c>
      <c r="M99" s="232"/>
      <c r="N99" s="425">
        <f>Paramètres!$K$20/(Données!$H$302+Données!$I$302)*(Données!H99+Données!I99)</f>
        <v>445.38419367214681</v>
      </c>
      <c r="O99" s="232">
        <v>40173.5</v>
      </c>
      <c r="P99" s="232">
        <v>4211.37</v>
      </c>
      <c r="Q99" s="232">
        <v>2039.5</v>
      </c>
      <c r="R99" s="232">
        <v>-718.35</v>
      </c>
      <c r="S99" s="232">
        <v>17435</v>
      </c>
      <c r="T99" s="232">
        <v>19916.2</v>
      </c>
      <c r="U99" s="232">
        <v>0</v>
      </c>
      <c r="V99" s="232">
        <v>0</v>
      </c>
      <c r="W99" s="233">
        <f t="shared" si="1"/>
        <v>457793.72419367218</v>
      </c>
      <c r="X99" s="232">
        <v>551</v>
      </c>
      <c r="Y99" s="232">
        <v>137</v>
      </c>
      <c r="Z99" s="234">
        <v>0.30099999999999999</v>
      </c>
      <c r="AA99" s="232">
        <v>8</v>
      </c>
      <c r="AB99" s="232">
        <v>8</v>
      </c>
      <c r="AC99" s="232" t="s">
        <v>566</v>
      </c>
      <c r="AD99" s="232" t="s">
        <v>566</v>
      </c>
      <c r="AE99" s="430">
        <v>0</v>
      </c>
    </row>
    <row r="100" spans="1:31" x14ac:dyDescent="0.25">
      <c r="A100" s="108">
        <v>5563</v>
      </c>
      <c r="B100" s="226" t="s">
        <v>77</v>
      </c>
      <c r="C100" s="368">
        <v>138</v>
      </c>
      <c r="D100" s="371">
        <v>80</v>
      </c>
      <c r="E100" s="235">
        <v>1</v>
      </c>
      <c r="F100" s="231">
        <v>224456.79</v>
      </c>
      <c r="G100" s="232">
        <v>39024.959999999999</v>
      </c>
      <c r="H100" s="232">
        <v>362.05</v>
      </c>
      <c r="I100" s="232">
        <v>833.45</v>
      </c>
      <c r="J100" s="232">
        <v>0</v>
      </c>
      <c r="K100" s="232">
        <v>0</v>
      </c>
      <c r="L100" s="232">
        <v>-50.7</v>
      </c>
      <c r="M100" s="232"/>
      <c r="N100" s="425">
        <f>Paramètres!$K$20/(Données!$H$302+Données!$I$302)*(Données!H100+Données!I100)</f>
        <v>113.66474261333806</v>
      </c>
      <c r="O100" s="232">
        <v>24007.8</v>
      </c>
      <c r="P100" s="232">
        <v>9939.6299999999992</v>
      </c>
      <c r="Q100" s="232">
        <v>0</v>
      </c>
      <c r="R100" s="232">
        <v>0</v>
      </c>
      <c r="S100" s="232">
        <v>11321.45</v>
      </c>
      <c r="T100" s="232">
        <v>0</v>
      </c>
      <c r="U100" s="232">
        <v>-9079.15</v>
      </c>
      <c r="V100" s="232">
        <v>534.29999999999995</v>
      </c>
      <c r="W100" s="233">
        <f t="shared" si="1"/>
        <v>301464.24474261329</v>
      </c>
      <c r="X100" s="232">
        <v>320</v>
      </c>
      <c r="Y100" s="232">
        <v>138</v>
      </c>
      <c r="Z100" s="234">
        <v>0.24399999999999999</v>
      </c>
      <c r="AA100" s="232">
        <v>18</v>
      </c>
      <c r="AB100" s="232">
        <v>18</v>
      </c>
      <c r="AC100" s="232" t="s">
        <v>566</v>
      </c>
      <c r="AD100" s="232" t="s">
        <v>566</v>
      </c>
      <c r="AE100" s="430">
        <v>0</v>
      </c>
    </row>
    <row r="101" spans="1:31" x14ac:dyDescent="0.25">
      <c r="A101" s="108">
        <v>5564</v>
      </c>
      <c r="B101" s="226" t="s">
        <v>197</v>
      </c>
      <c r="C101" s="368">
        <v>105</v>
      </c>
      <c r="D101" s="371">
        <v>76</v>
      </c>
      <c r="E101" s="235">
        <v>0.8</v>
      </c>
      <c r="F101" s="231">
        <v>156020.5</v>
      </c>
      <c r="G101" s="232">
        <v>13431.56</v>
      </c>
      <c r="H101" s="232">
        <v>307.14999999999998</v>
      </c>
      <c r="I101" s="232">
        <v>815.35</v>
      </c>
      <c r="J101" s="232">
        <v>0</v>
      </c>
      <c r="K101" s="232">
        <v>0</v>
      </c>
      <c r="L101" s="232">
        <v>-158.06</v>
      </c>
      <c r="M101" s="232"/>
      <c r="N101" s="425">
        <f>Paramètres!$K$20/(Données!$H$302+Données!$I$302)*(Données!H101+Données!I101)</f>
        <v>106.72411006563947</v>
      </c>
      <c r="O101" s="232">
        <v>12643.95</v>
      </c>
      <c r="P101" s="232">
        <v>0</v>
      </c>
      <c r="Q101" s="232">
        <v>0</v>
      </c>
      <c r="R101" s="232">
        <v>0</v>
      </c>
      <c r="S101" s="232">
        <v>7135.35</v>
      </c>
      <c r="T101" s="232">
        <v>0</v>
      </c>
      <c r="U101" s="232">
        <v>22220.25</v>
      </c>
      <c r="V101" s="232">
        <v>0</v>
      </c>
      <c r="W101" s="233">
        <f t="shared" si="1"/>
        <v>212522.77411006566</v>
      </c>
      <c r="X101" s="232">
        <v>201</v>
      </c>
      <c r="Y101" s="232">
        <v>0</v>
      </c>
      <c r="Z101" s="234">
        <v>0.40899999999999997</v>
      </c>
      <c r="AA101" s="232">
        <v>17</v>
      </c>
      <c r="AB101" s="232">
        <v>17</v>
      </c>
      <c r="AC101" s="232" t="s">
        <v>566</v>
      </c>
      <c r="AD101" s="232" t="s">
        <v>566</v>
      </c>
      <c r="AE101" s="430">
        <v>0</v>
      </c>
    </row>
    <row r="102" spans="1:31" x14ac:dyDescent="0.25">
      <c r="A102" s="108">
        <v>5565</v>
      </c>
      <c r="B102" s="226" t="s">
        <v>198</v>
      </c>
      <c r="C102" s="368">
        <v>527</v>
      </c>
      <c r="D102" s="371">
        <v>65</v>
      </c>
      <c r="E102" s="235">
        <v>1</v>
      </c>
      <c r="F102" s="231">
        <v>777388.57</v>
      </c>
      <c r="G102" s="232">
        <v>138066.45000000001</v>
      </c>
      <c r="H102" s="232">
        <v>31777.5</v>
      </c>
      <c r="I102" s="232">
        <v>31364.95</v>
      </c>
      <c r="J102" s="232">
        <v>0</v>
      </c>
      <c r="K102" s="232">
        <v>0</v>
      </c>
      <c r="L102" s="232">
        <v>-2517.41</v>
      </c>
      <c r="M102" s="232"/>
      <c r="N102" s="425">
        <f>Paramètres!$K$20/(Données!$H$302+Données!$I$302)*(Données!H102+Données!I102)</f>
        <v>6003.4047070059123</v>
      </c>
      <c r="O102" s="232">
        <v>138713.35</v>
      </c>
      <c r="P102" s="232">
        <v>8970.86</v>
      </c>
      <c r="Q102" s="232">
        <v>22127.7</v>
      </c>
      <c r="R102" s="232">
        <v>0</v>
      </c>
      <c r="S102" s="232">
        <v>68046.7</v>
      </c>
      <c r="T102" s="232">
        <v>0</v>
      </c>
      <c r="U102" s="232">
        <v>44406.3</v>
      </c>
      <c r="V102" s="232">
        <v>71007.8</v>
      </c>
      <c r="W102" s="233">
        <f t="shared" si="1"/>
        <v>1335356.174707006</v>
      </c>
      <c r="X102" s="232">
        <v>513</v>
      </c>
      <c r="Y102" s="232">
        <v>2</v>
      </c>
      <c r="Z102" s="234">
        <v>0.23899999999999999</v>
      </c>
      <c r="AA102" s="232">
        <v>65</v>
      </c>
      <c r="AB102" s="232">
        <v>53</v>
      </c>
      <c r="AC102" s="232" t="s">
        <v>566</v>
      </c>
      <c r="AD102" s="232" t="s">
        <v>566</v>
      </c>
      <c r="AE102" s="430">
        <v>0</v>
      </c>
    </row>
    <row r="103" spans="1:31" x14ac:dyDescent="0.25">
      <c r="A103" s="108">
        <v>5566</v>
      </c>
      <c r="B103" s="226" t="s">
        <v>199</v>
      </c>
      <c r="C103" s="368">
        <v>421</v>
      </c>
      <c r="D103" s="371">
        <v>81</v>
      </c>
      <c r="E103" s="235">
        <v>1.5</v>
      </c>
      <c r="F103" s="231">
        <v>637539.67000000004</v>
      </c>
      <c r="G103" s="232">
        <v>84328.53</v>
      </c>
      <c r="H103" s="232">
        <v>3745.45</v>
      </c>
      <c r="I103" s="232">
        <v>4238.8</v>
      </c>
      <c r="J103" s="232">
        <v>0</v>
      </c>
      <c r="K103" s="232">
        <v>0</v>
      </c>
      <c r="L103" s="232">
        <v>-5533.18</v>
      </c>
      <c r="M103" s="232"/>
      <c r="N103" s="425">
        <f>Paramètres!$K$20/(Données!$H$302+Données!$I$302)*(Données!H103+Données!I103)</f>
        <v>759.11980025976118</v>
      </c>
      <c r="O103" s="232">
        <v>102433.9</v>
      </c>
      <c r="P103" s="232">
        <v>34753.19</v>
      </c>
      <c r="Q103" s="232">
        <v>2126.9499999999998</v>
      </c>
      <c r="R103" s="232">
        <v>0</v>
      </c>
      <c r="S103" s="232">
        <v>24703.200000000001</v>
      </c>
      <c r="T103" s="232">
        <v>655.29999999999995</v>
      </c>
      <c r="U103" s="232">
        <v>47503.55</v>
      </c>
      <c r="V103" s="232">
        <v>47758.1</v>
      </c>
      <c r="W103" s="233">
        <f t="shared" si="1"/>
        <v>985012.57980025967</v>
      </c>
      <c r="X103" s="232">
        <v>3183</v>
      </c>
      <c r="Y103" s="232">
        <v>419</v>
      </c>
      <c r="Z103" s="234">
        <v>9.9000000000000005E-2</v>
      </c>
      <c r="AA103" s="232">
        <v>43</v>
      </c>
      <c r="AB103" s="232">
        <v>43</v>
      </c>
      <c r="AC103" s="232" t="s">
        <v>566</v>
      </c>
      <c r="AD103" s="232" t="s">
        <v>566</v>
      </c>
      <c r="AE103" s="430">
        <v>0</v>
      </c>
    </row>
    <row r="104" spans="1:31" x14ac:dyDescent="0.25">
      <c r="A104" s="108">
        <v>5568</v>
      </c>
      <c r="B104" s="226" t="s">
        <v>200</v>
      </c>
      <c r="C104" s="368">
        <v>5149</v>
      </c>
      <c r="D104" s="371">
        <v>70</v>
      </c>
      <c r="E104" s="235">
        <v>1</v>
      </c>
      <c r="F104" s="231">
        <v>5955306.1600000001</v>
      </c>
      <c r="G104" s="232">
        <v>854385.28</v>
      </c>
      <c r="H104" s="232">
        <v>447846.55</v>
      </c>
      <c r="I104" s="232">
        <v>71474.399999999994</v>
      </c>
      <c r="J104" s="232">
        <v>0</v>
      </c>
      <c r="K104" s="232">
        <v>126011.07</v>
      </c>
      <c r="L104" s="232">
        <v>-340274.06</v>
      </c>
      <c r="M104" s="232"/>
      <c r="N104" s="425">
        <f>Paramètres!$K$20/(Données!$H$302+Données!$I$302)*(Données!H104+Données!I104)</f>
        <v>49375.560113311753</v>
      </c>
      <c r="O104" s="232">
        <v>717411.4</v>
      </c>
      <c r="P104" s="232">
        <v>184223.41</v>
      </c>
      <c r="Q104" s="232">
        <v>65738.7</v>
      </c>
      <c r="R104" s="232">
        <v>-717.1</v>
      </c>
      <c r="S104" s="232">
        <v>317511.25</v>
      </c>
      <c r="T104" s="232">
        <v>243562.2</v>
      </c>
      <c r="U104" s="232">
        <v>246992.25</v>
      </c>
      <c r="V104" s="232">
        <v>2851337.55</v>
      </c>
      <c r="W104" s="233">
        <f t="shared" si="1"/>
        <v>11790184.620113313</v>
      </c>
      <c r="X104" s="232">
        <v>3882</v>
      </c>
      <c r="Y104" s="232">
        <v>5140</v>
      </c>
      <c r="Z104" s="234">
        <v>0.29599999999999999</v>
      </c>
      <c r="AA104" s="232">
        <v>450</v>
      </c>
      <c r="AB104" s="232">
        <v>102</v>
      </c>
      <c r="AC104" s="232" t="s">
        <v>566</v>
      </c>
      <c r="AD104" s="232" t="s">
        <v>566</v>
      </c>
      <c r="AE104" s="430">
        <v>0</v>
      </c>
    </row>
    <row r="105" spans="1:31" x14ac:dyDescent="0.25">
      <c r="A105" s="108">
        <v>5571</v>
      </c>
      <c r="B105" s="226" t="s">
        <v>201</v>
      </c>
      <c r="C105" s="368">
        <v>857</v>
      </c>
      <c r="D105" s="371">
        <v>71.5</v>
      </c>
      <c r="E105" s="235">
        <v>1.2</v>
      </c>
      <c r="F105" s="231">
        <v>1475291.98</v>
      </c>
      <c r="G105" s="232">
        <v>246035.07</v>
      </c>
      <c r="H105" s="232">
        <v>10837.5</v>
      </c>
      <c r="I105" s="232">
        <v>1448.45</v>
      </c>
      <c r="J105" s="232">
        <v>0</v>
      </c>
      <c r="K105" s="232">
        <v>2673.8</v>
      </c>
      <c r="L105" s="232">
        <v>-10012.27</v>
      </c>
      <c r="M105" s="232"/>
      <c r="N105" s="425">
        <f>Paramètres!$K$20/(Données!$H$302+Données!$I$302)*(Données!H105+Données!I105)</f>
        <v>1168.1132116355841</v>
      </c>
      <c r="O105" s="232">
        <v>212693.2</v>
      </c>
      <c r="P105" s="232">
        <v>22119.35</v>
      </c>
      <c r="Q105" s="232">
        <v>9167.2000000000007</v>
      </c>
      <c r="R105" s="232">
        <v>-22.45</v>
      </c>
      <c r="S105" s="232">
        <v>116709.3</v>
      </c>
      <c r="T105" s="232">
        <v>92909.7</v>
      </c>
      <c r="U105" s="232">
        <v>89439.45</v>
      </c>
      <c r="V105" s="232">
        <v>39646.25</v>
      </c>
      <c r="W105" s="233">
        <f t="shared" si="1"/>
        <v>2310104.6432116358</v>
      </c>
      <c r="X105" s="232">
        <v>1431</v>
      </c>
      <c r="Y105" s="232">
        <v>625</v>
      </c>
      <c r="Z105" s="234">
        <v>0.23</v>
      </c>
      <c r="AA105" s="232">
        <v>106</v>
      </c>
      <c r="AB105" s="232">
        <v>106</v>
      </c>
      <c r="AC105" s="232" t="s">
        <v>566</v>
      </c>
      <c r="AD105" s="232" t="s">
        <v>566</v>
      </c>
      <c r="AE105" s="430">
        <v>0</v>
      </c>
    </row>
    <row r="106" spans="1:31" x14ac:dyDescent="0.25">
      <c r="A106" s="108">
        <v>5581</v>
      </c>
      <c r="B106" s="226" t="s">
        <v>202</v>
      </c>
      <c r="C106" s="368">
        <v>3891</v>
      </c>
      <c r="D106" s="371">
        <v>72</v>
      </c>
      <c r="E106" s="235">
        <v>1.5</v>
      </c>
      <c r="F106" s="231">
        <v>11887103.710000001</v>
      </c>
      <c r="G106" s="232">
        <v>2546003.39</v>
      </c>
      <c r="H106" s="232">
        <v>-149633.54999999999</v>
      </c>
      <c r="I106" s="232">
        <v>16314.45</v>
      </c>
      <c r="J106" s="232">
        <v>137964.04999999999</v>
      </c>
      <c r="K106" s="232">
        <v>46616.01</v>
      </c>
      <c r="L106" s="232">
        <v>-100668.96</v>
      </c>
      <c r="M106" s="232"/>
      <c r="N106" s="425">
        <f>Paramètres!$K$20/(Données!$H$302+Données!$I$302)*(Données!H106+Données!I106)</f>
        <v>-12675.601160135404</v>
      </c>
      <c r="O106" s="232">
        <v>1621552.95</v>
      </c>
      <c r="P106" s="232">
        <v>211453.99</v>
      </c>
      <c r="Q106" s="232">
        <v>18562.400000000001</v>
      </c>
      <c r="R106" s="232">
        <v>-23553.8</v>
      </c>
      <c r="S106" s="232">
        <v>1136916.3999999999</v>
      </c>
      <c r="T106" s="232">
        <v>85186.6</v>
      </c>
      <c r="U106" s="232">
        <v>502708.15</v>
      </c>
      <c r="V106" s="232">
        <v>5661.45</v>
      </c>
      <c r="W106" s="233">
        <f t="shared" si="1"/>
        <v>17929511.638839863</v>
      </c>
      <c r="X106" s="232">
        <v>261</v>
      </c>
      <c r="Y106" s="232">
        <v>258</v>
      </c>
      <c r="Z106" s="234">
        <v>0.26300000000000001</v>
      </c>
      <c r="AA106" s="232">
        <v>442</v>
      </c>
      <c r="AB106" s="232">
        <v>97</v>
      </c>
      <c r="AC106" s="232">
        <v>1566933.96</v>
      </c>
      <c r="AD106" s="232">
        <v>-217422.07</v>
      </c>
      <c r="AE106" s="430">
        <v>1</v>
      </c>
    </row>
    <row r="107" spans="1:31" x14ac:dyDescent="0.25">
      <c r="A107" s="108">
        <v>5582</v>
      </c>
      <c r="B107" s="226" t="s">
        <v>203</v>
      </c>
      <c r="C107" s="368">
        <v>4870</v>
      </c>
      <c r="D107" s="371">
        <v>73</v>
      </c>
      <c r="E107" s="235">
        <v>1</v>
      </c>
      <c r="F107" s="231">
        <v>9975516.3599999994</v>
      </c>
      <c r="G107" s="232">
        <v>1193176.08</v>
      </c>
      <c r="H107" s="232">
        <v>440907.15</v>
      </c>
      <c r="I107" s="232">
        <v>252326.75</v>
      </c>
      <c r="J107" s="232">
        <v>0</v>
      </c>
      <c r="K107" s="232">
        <v>14272.22</v>
      </c>
      <c r="L107" s="232">
        <v>-95322.4</v>
      </c>
      <c r="M107" s="232"/>
      <c r="N107" s="425">
        <f>Paramètres!$K$20/(Données!$H$302+Données!$I$302)*(Données!H107+Données!I107)</f>
        <v>65910.709171342984</v>
      </c>
      <c r="O107" s="232">
        <v>1098453.6000000001</v>
      </c>
      <c r="P107" s="232">
        <v>332200.71999999997</v>
      </c>
      <c r="Q107" s="232">
        <v>84630.45</v>
      </c>
      <c r="R107" s="232">
        <v>-7270.81</v>
      </c>
      <c r="S107" s="232">
        <v>322410.15000000002</v>
      </c>
      <c r="T107" s="232">
        <v>131620.9</v>
      </c>
      <c r="U107" s="232">
        <v>425956.7</v>
      </c>
      <c r="V107" s="232">
        <v>505776.35</v>
      </c>
      <c r="W107" s="233">
        <f t="shared" si="1"/>
        <v>14740564.929171342</v>
      </c>
      <c r="X107" s="232">
        <v>453</v>
      </c>
      <c r="Y107" s="232">
        <v>0</v>
      </c>
      <c r="Z107" s="234">
        <v>3.1E-2</v>
      </c>
      <c r="AA107" s="232">
        <v>530</v>
      </c>
      <c r="AB107" s="232">
        <v>21</v>
      </c>
      <c r="AC107" s="232" t="s">
        <v>566</v>
      </c>
      <c r="AD107" s="232" t="s">
        <v>566</v>
      </c>
      <c r="AE107" s="430">
        <v>0</v>
      </c>
    </row>
    <row r="108" spans="1:31" x14ac:dyDescent="0.25">
      <c r="A108" s="108">
        <v>5583</v>
      </c>
      <c r="B108" s="226" t="s">
        <v>204</v>
      </c>
      <c r="C108" s="368">
        <v>11116</v>
      </c>
      <c r="D108" s="371">
        <v>63.5</v>
      </c>
      <c r="E108" s="235">
        <v>1</v>
      </c>
      <c r="F108" s="231">
        <v>20591395.440000001</v>
      </c>
      <c r="G108" s="232">
        <v>2151763.94</v>
      </c>
      <c r="H108" s="232">
        <v>3910195.35</v>
      </c>
      <c r="I108" s="232">
        <v>377566.05</v>
      </c>
      <c r="J108" s="232">
        <v>0</v>
      </c>
      <c r="K108" s="232">
        <v>100021.12</v>
      </c>
      <c r="L108" s="232">
        <v>-475853.22</v>
      </c>
      <c r="M108" s="232"/>
      <c r="N108" s="425">
        <f>Paramètres!$K$20/(Données!$H$302+Données!$I$302)*(Données!H108+Données!I108)</f>
        <v>407668.16889870859</v>
      </c>
      <c r="O108" s="232">
        <v>3775102.2</v>
      </c>
      <c r="P108" s="232">
        <v>1515103.22</v>
      </c>
      <c r="Q108" s="232">
        <v>449027.75</v>
      </c>
      <c r="R108" s="232">
        <v>-5699.05</v>
      </c>
      <c r="S108" s="232">
        <v>1009044.6</v>
      </c>
      <c r="T108" s="232">
        <v>-822886</v>
      </c>
      <c r="U108" s="232">
        <v>1380028.85</v>
      </c>
      <c r="V108" s="232">
        <v>3070245.7</v>
      </c>
      <c r="W108" s="233">
        <f t="shared" si="1"/>
        <v>37432724.11889872</v>
      </c>
      <c r="X108" s="232">
        <v>550</v>
      </c>
      <c r="Y108" s="232">
        <v>0</v>
      </c>
      <c r="Z108" s="234">
        <v>0.109</v>
      </c>
      <c r="AA108" s="232">
        <v>1208</v>
      </c>
      <c r="AB108" s="232">
        <v>36</v>
      </c>
      <c r="AC108" s="232">
        <v>5260710</v>
      </c>
      <c r="AD108" s="232">
        <v>-563839</v>
      </c>
      <c r="AE108" s="430">
        <v>1</v>
      </c>
    </row>
    <row r="109" spans="1:31" x14ac:dyDescent="0.25">
      <c r="A109" s="108">
        <v>5584</v>
      </c>
      <c r="B109" s="226" t="s">
        <v>205</v>
      </c>
      <c r="C109" s="368">
        <v>9869</v>
      </c>
      <c r="D109" s="371">
        <v>64.5</v>
      </c>
      <c r="E109" s="235">
        <v>1</v>
      </c>
      <c r="F109" s="231">
        <v>24408894.949999999</v>
      </c>
      <c r="G109" s="232">
        <v>5044311.88</v>
      </c>
      <c r="H109" s="232">
        <v>475120.4</v>
      </c>
      <c r="I109" s="232">
        <v>171386.45</v>
      </c>
      <c r="J109" s="232">
        <v>509484.37</v>
      </c>
      <c r="K109" s="232">
        <v>57422.43</v>
      </c>
      <c r="L109" s="232">
        <v>-208536.6</v>
      </c>
      <c r="M109" s="232"/>
      <c r="N109" s="425">
        <f>Paramètres!$K$20/(Données!$H$302+Données!$I$302)*(Données!H109+Données!I109)</f>
        <v>61468.034046850669</v>
      </c>
      <c r="O109" s="232">
        <v>2797641.1</v>
      </c>
      <c r="P109" s="232">
        <v>624296.16</v>
      </c>
      <c r="Q109" s="232">
        <v>356424.1</v>
      </c>
      <c r="R109" s="232">
        <v>-539342.44999999995</v>
      </c>
      <c r="S109" s="232">
        <v>941466.35</v>
      </c>
      <c r="T109" s="232">
        <v>216741.4</v>
      </c>
      <c r="U109" s="232">
        <v>768063.05</v>
      </c>
      <c r="V109" s="232">
        <v>363716.55</v>
      </c>
      <c r="W109" s="233">
        <f t="shared" si="1"/>
        <v>36048558.174046837</v>
      </c>
      <c r="X109" s="232">
        <v>460</v>
      </c>
      <c r="Y109" s="232">
        <v>6546</v>
      </c>
      <c r="Z109" s="234">
        <v>0.17499999999999999</v>
      </c>
      <c r="AA109" s="232">
        <v>1143</v>
      </c>
      <c r="AB109" s="232">
        <v>156</v>
      </c>
      <c r="AC109" s="232">
        <v>4801233</v>
      </c>
      <c r="AD109" s="232">
        <v>-663252.6</v>
      </c>
      <c r="AE109" s="430">
        <v>0</v>
      </c>
    </row>
    <row r="110" spans="1:31" x14ac:dyDescent="0.25">
      <c r="A110" s="108">
        <v>5585</v>
      </c>
      <c r="B110" s="226" t="s">
        <v>206</v>
      </c>
      <c r="C110" s="368">
        <v>1455</v>
      </c>
      <c r="D110" s="371">
        <v>59</v>
      </c>
      <c r="E110" s="235">
        <v>1.5</v>
      </c>
      <c r="F110" s="231">
        <f>9383290.49-1200000</f>
        <v>8183290.4900000002</v>
      </c>
      <c r="G110" s="232">
        <f>6215665.06-460000</f>
        <v>5755665.0599999996</v>
      </c>
      <c r="H110" s="232">
        <v>36123.599999999999</v>
      </c>
      <c r="I110" s="232">
        <v>7922.25</v>
      </c>
      <c r="J110" s="232">
        <v>536993.22</v>
      </c>
      <c r="K110" s="232">
        <v>26876.22</v>
      </c>
      <c r="L110" s="232">
        <v>-27771.88</v>
      </c>
      <c r="M110" s="232"/>
      <c r="N110" s="425">
        <f>Paramètres!$K$20/(Données!$H$302+Données!$I$302)*(Données!H110+Données!I110)</f>
        <v>4187.754247959595</v>
      </c>
      <c r="O110" s="232">
        <v>976579.6</v>
      </c>
      <c r="P110" s="232">
        <v>56706.58</v>
      </c>
      <c r="Q110" s="232">
        <v>19426.5</v>
      </c>
      <c r="R110" s="232">
        <v>-22878.05</v>
      </c>
      <c r="S110" s="232">
        <v>498296.7</v>
      </c>
      <c r="T110" s="232">
        <v>30690</v>
      </c>
      <c r="U110" s="232">
        <v>634456.25</v>
      </c>
      <c r="V110" s="232">
        <v>2416.85</v>
      </c>
      <c r="W110" s="233">
        <f t="shared" si="1"/>
        <v>16718981.144247958</v>
      </c>
      <c r="X110" s="232">
        <v>191</v>
      </c>
      <c r="Y110" s="232">
        <v>0</v>
      </c>
      <c r="Z110" s="234">
        <v>9.9000000000000005E-2</v>
      </c>
      <c r="AA110" s="232">
        <v>152</v>
      </c>
      <c r="AB110" s="232">
        <v>29</v>
      </c>
      <c r="AC110" s="232" t="s">
        <v>566</v>
      </c>
      <c r="AD110" s="232" t="s">
        <v>566</v>
      </c>
      <c r="AE110" s="430">
        <v>0</v>
      </c>
    </row>
    <row r="111" spans="1:31" x14ac:dyDescent="0.25">
      <c r="A111" s="108">
        <v>5586</v>
      </c>
      <c r="B111" s="226" t="s">
        <v>69</v>
      </c>
      <c r="C111" s="368">
        <v>145707</v>
      </c>
      <c r="D111" s="371">
        <v>78.5</v>
      </c>
      <c r="E111" s="235">
        <v>1.5</v>
      </c>
      <c r="F111" s="231">
        <v>320630984.54000002</v>
      </c>
      <c r="G111" s="232">
        <v>50966566.140000001</v>
      </c>
      <c r="H111" s="232">
        <v>123034692.15000001</v>
      </c>
      <c r="I111" s="232">
        <v>8099709.5499999998</v>
      </c>
      <c r="J111" s="232">
        <v>5924716.8099999996</v>
      </c>
      <c r="K111" s="232">
        <v>2056485.33</v>
      </c>
      <c r="L111" s="232">
        <v>-7171778.5999999996</v>
      </c>
      <c r="M111" s="232"/>
      <c r="N111" s="425">
        <f>Paramètres!$K$20/(Données!$H$302+Données!$I$302)*(Données!H111+Données!I111)</f>
        <v>12467886.254274013</v>
      </c>
      <c r="O111" s="232">
        <v>48124736.350000001</v>
      </c>
      <c r="P111" s="232">
        <v>25845560.969999999</v>
      </c>
      <c r="Q111" s="232">
        <v>6861057.6500000004</v>
      </c>
      <c r="R111" s="232">
        <v>-2973139.25</v>
      </c>
      <c r="S111" s="232">
        <v>13731767.050000001</v>
      </c>
      <c r="T111" s="232">
        <v>19331516.899999999</v>
      </c>
      <c r="U111" s="232">
        <v>7977174.5499999998</v>
      </c>
      <c r="V111" s="232">
        <v>16707715.25</v>
      </c>
      <c r="W111" s="233">
        <f t="shared" si="1"/>
        <v>651615651.64427388</v>
      </c>
      <c r="X111" s="232">
        <v>4127</v>
      </c>
      <c r="Y111" s="232">
        <v>3869</v>
      </c>
      <c r="Z111" s="234">
        <v>0.106</v>
      </c>
      <c r="AA111" s="232">
        <v>14469</v>
      </c>
      <c r="AB111" s="232">
        <v>801</v>
      </c>
      <c r="AC111" s="232">
        <v>64092282.960000001</v>
      </c>
      <c r="AD111" s="232">
        <v>-9131482</v>
      </c>
      <c r="AE111" s="430">
        <v>1</v>
      </c>
    </row>
    <row r="112" spans="1:31" x14ac:dyDescent="0.25">
      <c r="A112" s="108">
        <v>5587</v>
      </c>
      <c r="B112" s="226" t="s">
        <v>70</v>
      </c>
      <c r="C112" s="368">
        <v>9785</v>
      </c>
      <c r="D112" s="371">
        <v>72</v>
      </c>
      <c r="E112" s="235">
        <v>1.2</v>
      </c>
      <c r="F112" s="231">
        <v>26558448.649999999</v>
      </c>
      <c r="G112" s="232">
        <v>4423872.83</v>
      </c>
      <c r="H112" s="232">
        <v>3913982.25</v>
      </c>
      <c r="I112" s="232">
        <v>328869.2</v>
      </c>
      <c r="J112" s="232">
        <v>-201438.5</v>
      </c>
      <c r="K112" s="232">
        <v>49934.080000000002</v>
      </c>
      <c r="L112" s="232">
        <v>-245546.33</v>
      </c>
      <c r="M112" s="232"/>
      <c r="N112" s="425">
        <f>Paramètres!$K$20/(Données!$H$302+Données!$I$302)*(Données!H112+Données!I112)</f>
        <v>403398.25847835903</v>
      </c>
      <c r="O112" s="232">
        <v>3498581.65</v>
      </c>
      <c r="P112" s="232">
        <v>638108.67000000004</v>
      </c>
      <c r="Q112" s="232">
        <v>384834.75</v>
      </c>
      <c r="R112" s="232">
        <v>-103929.41</v>
      </c>
      <c r="S112" s="232">
        <v>1971861.8</v>
      </c>
      <c r="T112" s="232">
        <v>541454</v>
      </c>
      <c r="U112" s="232">
        <v>1077944.1000000001</v>
      </c>
      <c r="V112" s="232">
        <v>906820.8</v>
      </c>
      <c r="W112" s="233">
        <f t="shared" si="1"/>
        <v>44147196.798478357</v>
      </c>
      <c r="X112" s="232">
        <v>971</v>
      </c>
      <c r="Y112" s="232">
        <v>627</v>
      </c>
      <c r="Z112" s="234">
        <v>8.5000000000000006E-2</v>
      </c>
      <c r="AA112" s="232">
        <v>1311</v>
      </c>
      <c r="AB112" s="232">
        <v>47</v>
      </c>
      <c r="AC112" s="232">
        <v>3083742.96</v>
      </c>
      <c r="AD112" s="232">
        <v>-551035</v>
      </c>
      <c r="AE112" s="430">
        <v>0</v>
      </c>
    </row>
    <row r="113" spans="1:31" x14ac:dyDescent="0.25">
      <c r="A113" s="108">
        <v>5588</v>
      </c>
      <c r="B113" s="226" t="s">
        <v>207</v>
      </c>
      <c r="C113" s="368">
        <v>1483</v>
      </c>
      <c r="D113" s="371">
        <v>66.5</v>
      </c>
      <c r="E113" s="235">
        <v>0.7</v>
      </c>
      <c r="F113" s="231">
        <v>3703539.15</v>
      </c>
      <c r="G113" s="232">
        <v>1310369.02</v>
      </c>
      <c r="H113" s="232">
        <v>341786</v>
      </c>
      <c r="I113" s="232">
        <v>420494.5</v>
      </c>
      <c r="J113" s="232">
        <v>825167.75</v>
      </c>
      <c r="K113" s="232">
        <v>689.34</v>
      </c>
      <c r="L113" s="232">
        <v>-46709.2</v>
      </c>
      <c r="M113" s="232"/>
      <c r="N113" s="425">
        <f>Paramètres!$K$20/(Données!$H$302+Données!$I$302)*(Données!H113+Données!I113)</f>
        <v>72475.463681862529</v>
      </c>
      <c r="O113" s="232">
        <v>422731.1</v>
      </c>
      <c r="P113" s="232">
        <v>383042.92</v>
      </c>
      <c r="Q113" s="232">
        <v>-61785.5</v>
      </c>
      <c r="R113" s="232">
        <v>-11612.61</v>
      </c>
      <c r="S113" s="232">
        <v>336969.45</v>
      </c>
      <c r="T113" s="232">
        <v>0</v>
      </c>
      <c r="U113" s="232">
        <v>343280.95</v>
      </c>
      <c r="V113" s="232">
        <v>29259.45</v>
      </c>
      <c r="W113" s="233">
        <f t="shared" si="1"/>
        <v>8069697.7836818621</v>
      </c>
      <c r="X113" s="232">
        <v>50</v>
      </c>
      <c r="Y113" s="232">
        <v>0</v>
      </c>
      <c r="Z113" s="234">
        <v>0.248</v>
      </c>
      <c r="AA113" s="232">
        <v>138</v>
      </c>
      <c r="AB113" s="232">
        <v>1</v>
      </c>
      <c r="AC113" s="232">
        <v>546318.96</v>
      </c>
      <c r="AD113" s="232">
        <v>-87554</v>
      </c>
      <c r="AE113" s="430">
        <v>1</v>
      </c>
    </row>
    <row r="114" spans="1:31" x14ac:dyDescent="0.25">
      <c r="A114" s="108">
        <v>5589</v>
      </c>
      <c r="B114" s="226" t="s">
        <v>208</v>
      </c>
      <c r="C114" s="368">
        <v>13069</v>
      </c>
      <c r="D114" s="371">
        <v>72.5</v>
      </c>
      <c r="E114" s="235">
        <v>1.3</v>
      </c>
      <c r="F114" s="231">
        <v>21071772.940000001</v>
      </c>
      <c r="G114" s="232">
        <v>2390706.08</v>
      </c>
      <c r="H114" s="232">
        <v>6902709.9000000004</v>
      </c>
      <c r="I114" s="232">
        <v>295030.59999999998</v>
      </c>
      <c r="J114" s="232">
        <v>-123764.6</v>
      </c>
      <c r="K114" s="232">
        <v>61817.03</v>
      </c>
      <c r="L114" s="232">
        <v>-621934.98</v>
      </c>
      <c r="M114" s="232"/>
      <c r="N114" s="425">
        <f>Paramètres!$K$20/(Données!$H$302+Données!$I$302)*(Données!H114+Données!I114)</f>
        <v>684340.71211216995</v>
      </c>
      <c r="O114" s="232">
        <v>3511664.3</v>
      </c>
      <c r="P114" s="232">
        <v>1505163.45</v>
      </c>
      <c r="Q114" s="232">
        <v>387406</v>
      </c>
      <c r="R114" s="232">
        <v>-90659.199999999997</v>
      </c>
      <c r="S114" s="232">
        <v>2288209.35</v>
      </c>
      <c r="T114" s="232">
        <v>144425.20000000001</v>
      </c>
      <c r="U114" s="232">
        <v>557284.19999999995</v>
      </c>
      <c r="V114" s="232">
        <v>1852716.65</v>
      </c>
      <c r="W114" s="233">
        <f t="shared" si="1"/>
        <v>40816887.632112175</v>
      </c>
      <c r="X114" s="232">
        <v>219</v>
      </c>
      <c r="Y114" s="232">
        <v>0</v>
      </c>
      <c r="Z114" s="234">
        <v>9.4E-2</v>
      </c>
      <c r="AA114" s="232">
        <v>1300</v>
      </c>
      <c r="AB114" s="232">
        <v>24</v>
      </c>
      <c r="AC114" s="232">
        <v>4163331</v>
      </c>
      <c r="AD114" s="232">
        <v>-499716</v>
      </c>
      <c r="AE114" s="430">
        <v>1</v>
      </c>
    </row>
    <row r="115" spans="1:31" x14ac:dyDescent="0.25">
      <c r="A115" s="108">
        <v>5590</v>
      </c>
      <c r="B115" s="226" t="s">
        <v>209</v>
      </c>
      <c r="C115" s="368">
        <v>19550</v>
      </c>
      <c r="D115" s="371">
        <v>61</v>
      </c>
      <c r="E115" s="235">
        <v>0.7</v>
      </c>
      <c r="F115" s="231">
        <v>59676350.590000004</v>
      </c>
      <c r="G115" s="232">
        <v>18837277.77</v>
      </c>
      <c r="H115" s="232">
        <v>12882446.25</v>
      </c>
      <c r="I115" s="232">
        <v>1734044.9</v>
      </c>
      <c r="J115" s="232">
        <v>2671442.46</v>
      </c>
      <c r="K115" s="232">
        <v>255077.3</v>
      </c>
      <c r="L115" s="232">
        <v>-469373.44</v>
      </c>
      <c r="M115" s="232"/>
      <c r="N115" s="425">
        <f>Paramètres!$K$20/(Données!$H$302+Données!$I$302)*(Données!H115+Données!I115)</f>
        <v>1389694.4412169668</v>
      </c>
      <c r="O115" s="232">
        <v>4231163.75</v>
      </c>
      <c r="P115" s="232">
        <v>1235849.9099999999</v>
      </c>
      <c r="Q115" s="232">
        <v>540667.85</v>
      </c>
      <c r="R115" s="232">
        <v>-258663.03</v>
      </c>
      <c r="S115" s="232">
        <v>3528086.5</v>
      </c>
      <c r="T115" s="232">
        <v>3445713.9</v>
      </c>
      <c r="U115" s="232">
        <v>2934534.3</v>
      </c>
      <c r="V115" s="232">
        <v>195893.7</v>
      </c>
      <c r="W115" s="233">
        <f t="shared" si="1"/>
        <v>112830207.15121695</v>
      </c>
      <c r="X115" s="232">
        <v>589</v>
      </c>
      <c r="Y115" s="232">
        <v>44</v>
      </c>
      <c r="Z115" s="234">
        <v>0.193</v>
      </c>
      <c r="AA115" s="232">
        <v>1887</v>
      </c>
      <c r="AB115" s="232">
        <v>64</v>
      </c>
      <c r="AC115" s="232">
        <v>9951231</v>
      </c>
      <c r="AD115" s="232">
        <v>-1394588.01</v>
      </c>
      <c r="AE115" s="430">
        <v>1</v>
      </c>
    </row>
    <row r="116" spans="1:31" x14ac:dyDescent="0.25">
      <c r="A116" s="108">
        <v>5591</v>
      </c>
      <c r="B116" s="226" t="s">
        <v>210</v>
      </c>
      <c r="C116" s="368">
        <v>21827</v>
      </c>
      <c r="D116" s="371">
        <v>77</v>
      </c>
      <c r="E116" s="235">
        <v>1.4</v>
      </c>
      <c r="F116" s="231">
        <v>30437353.850000001</v>
      </c>
      <c r="G116" s="232">
        <v>3315297.4</v>
      </c>
      <c r="H116" s="232">
        <v>7806393.25</v>
      </c>
      <c r="I116" s="232">
        <v>552444.65</v>
      </c>
      <c r="J116" s="232">
        <v>0</v>
      </c>
      <c r="K116" s="232">
        <v>409429.57</v>
      </c>
      <c r="L116" s="232">
        <v>-1116864.6000000001</v>
      </c>
      <c r="M116" s="232"/>
      <c r="N116" s="425">
        <f>Paramètres!$K$20/(Données!$H$302+Données!$I$302)*(Données!H116+Données!I116)</f>
        <v>794734.55328324158</v>
      </c>
      <c r="O116" s="232">
        <v>5990516.4500000002</v>
      </c>
      <c r="P116" s="232">
        <v>3161130.33</v>
      </c>
      <c r="Q116" s="232">
        <v>1039759.95</v>
      </c>
      <c r="R116" s="232">
        <v>-33979.370000000003</v>
      </c>
      <c r="S116" s="232">
        <v>1838633.35</v>
      </c>
      <c r="T116" s="232">
        <v>917113</v>
      </c>
      <c r="U116" s="232">
        <v>634764.6</v>
      </c>
      <c r="V116" s="232">
        <v>3648812.85</v>
      </c>
      <c r="W116" s="233">
        <f t="shared" si="1"/>
        <v>59395539.833283253</v>
      </c>
      <c r="X116" s="232">
        <v>295</v>
      </c>
      <c r="Y116" s="232">
        <v>0</v>
      </c>
      <c r="Z116" s="234">
        <v>6.2E-2</v>
      </c>
      <c r="AA116" s="232">
        <v>2319</v>
      </c>
      <c r="AB116" s="232">
        <v>20</v>
      </c>
      <c r="AC116" s="232">
        <v>10294680.960000001</v>
      </c>
      <c r="AD116" s="232">
        <v>-1101299</v>
      </c>
      <c r="AE116" s="430">
        <v>1</v>
      </c>
    </row>
    <row r="117" spans="1:31" x14ac:dyDescent="0.25">
      <c r="A117" s="108">
        <v>5592</v>
      </c>
      <c r="B117" s="226" t="s">
        <v>211</v>
      </c>
      <c r="C117" s="368">
        <v>4331</v>
      </c>
      <c r="D117" s="371">
        <v>70.5</v>
      </c>
      <c r="E117" s="235">
        <v>1.25</v>
      </c>
      <c r="F117" s="231">
        <v>7304778.5899999999</v>
      </c>
      <c r="G117" s="232">
        <v>974648.49</v>
      </c>
      <c r="H117" s="232">
        <v>768536.2</v>
      </c>
      <c r="I117" s="232">
        <v>46582.95</v>
      </c>
      <c r="J117" s="232">
        <v>0</v>
      </c>
      <c r="K117" s="232">
        <v>112256.5</v>
      </c>
      <c r="L117" s="232">
        <v>-179502.11</v>
      </c>
      <c r="M117" s="232"/>
      <c r="N117" s="425">
        <f>Paramètres!$K$20/(Données!$H$302+Données!$I$302)*(Données!H117+Données!I117)</f>
        <v>77499.212366334497</v>
      </c>
      <c r="O117" s="232">
        <v>1200013</v>
      </c>
      <c r="P117" s="232">
        <v>326703.12</v>
      </c>
      <c r="Q117" s="232">
        <v>84996</v>
      </c>
      <c r="R117" s="232">
        <v>-18906.45</v>
      </c>
      <c r="S117" s="232">
        <v>597966.85</v>
      </c>
      <c r="T117" s="232">
        <v>45882.1</v>
      </c>
      <c r="U117" s="232">
        <v>748247.7</v>
      </c>
      <c r="V117" s="232">
        <v>587481.59999999998</v>
      </c>
      <c r="W117" s="233">
        <f t="shared" si="1"/>
        <v>12677183.752366332</v>
      </c>
      <c r="X117" s="232">
        <v>290</v>
      </c>
      <c r="Y117" s="232">
        <v>0</v>
      </c>
      <c r="Z117" s="234">
        <v>3.4000000000000002E-2</v>
      </c>
      <c r="AA117" s="232">
        <v>515</v>
      </c>
      <c r="AB117" s="232">
        <v>224</v>
      </c>
      <c r="AC117" s="232" t="s">
        <v>566</v>
      </c>
      <c r="AD117" s="232" t="s">
        <v>566</v>
      </c>
      <c r="AE117" s="430">
        <v>0</v>
      </c>
    </row>
    <row r="118" spans="1:31" x14ac:dyDescent="0.25">
      <c r="A118" s="108">
        <v>5601</v>
      </c>
      <c r="B118" s="226" t="s">
        <v>212</v>
      </c>
      <c r="C118" s="368">
        <v>2272</v>
      </c>
      <c r="D118" s="371">
        <v>67.5</v>
      </c>
      <c r="E118" s="235">
        <v>1</v>
      </c>
      <c r="F118" s="231">
        <v>5974068.29</v>
      </c>
      <c r="G118" s="232">
        <v>1191744.25</v>
      </c>
      <c r="H118" s="232">
        <v>89763.3</v>
      </c>
      <c r="I118" s="232">
        <v>14921.45</v>
      </c>
      <c r="J118" s="232">
        <v>0</v>
      </c>
      <c r="K118" s="232">
        <v>17614.59</v>
      </c>
      <c r="L118" s="232">
        <v>-67830.27</v>
      </c>
      <c r="M118" s="232"/>
      <c r="N118" s="425">
        <f>Paramètres!$K$20/(Données!$H$302+Données!$I$302)*(Données!H118+Données!I118)</f>
        <v>9953.1285355848122</v>
      </c>
      <c r="O118" s="232">
        <v>522461.05</v>
      </c>
      <c r="P118" s="232">
        <v>53612.78</v>
      </c>
      <c r="Q118" s="232">
        <v>33356.050000000003</v>
      </c>
      <c r="R118" s="232">
        <v>-11163.9</v>
      </c>
      <c r="S118" s="232">
        <v>429973.35</v>
      </c>
      <c r="T118" s="232">
        <v>1202237.8999999999</v>
      </c>
      <c r="U118" s="232">
        <v>238256.4</v>
      </c>
      <c r="V118" s="232">
        <v>51407.6</v>
      </c>
      <c r="W118" s="233">
        <f t="shared" si="1"/>
        <v>9750375.9685355835</v>
      </c>
      <c r="X118" s="232">
        <v>218</v>
      </c>
      <c r="Y118" s="232">
        <v>0</v>
      </c>
      <c r="Z118" s="234">
        <v>0.216</v>
      </c>
      <c r="AA118" s="232">
        <v>215</v>
      </c>
      <c r="AB118" s="232">
        <v>8</v>
      </c>
      <c r="AC118" s="232" t="s">
        <v>566</v>
      </c>
      <c r="AD118" s="232" t="s">
        <v>566</v>
      </c>
      <c r="AE118" s="430">
        <v>1</v>
      </c>
    </row>
    <row r="119" spans="1:31" x14ac:dyDescent="0.25">
      <c r="A119" s="108">
        <v>5604</v>
      </c>
      <c r="B119" s="226" t="s">
        <v>213</v>
      </c>
      <c r="C119" s="368">
        <v>2113</v>
      </c>
      <c r="D119" s="371">
        <v>69</v>
      </c>
      <c r="E119" s="235">
        <v>1</v>
      </c>
      <c r="F119" s="231">
        <v>3905133.46</v>
      </c>
      <c r="G119" s="232">
        <v>1037615.37</v>
      </c>
      <c r="H119" s="232">
        <v>224956.1</v>
      </c>
      <c r="I119" s="232">
        <v>13897.35</v>
      </c>
      <c r="J119" s="232">
        <v>20966.13</v>
      </c>
      <c r="K119" s="232">
        <v>31274.83</v>
      </c>
      <c r="L119" s="232">
        <v>-32045.33</v>
      </c>
      <c r="M119" s="232"/>
      <c r="N119" s="425">
        <f>Paramètres!$K$20/(Données!$H$302+Données!$I$302)*(Données!H119+Données!I119)</f>
        <v>22709.507249316448</v>
      </c>
      <c r="O119" s="232">
        <v>446448.78</v>
      </c>
      <c r="P119" s="232">
        <v>68720.34</v>
      </c>
      <c r="Q119" s="232">
        <v>35532.65</v>
      </c>
      <c r="R119" s="232">
        <v>-17874.39</v>
      </c>
      <c r="S119" s="232">
        <v>318703.3</v>
      </c>
      <c r="T119" s="232">
        <v>79575.600000000006</v>
      </c>
      <c r="U119" s="232">
        <v>199200.45</v>
      </c>
      <c r="V119" s="232">
        <v>150168.85</v>
      </c>
      <c r="W119" s="233">
        <f t="shared" si="1"/>
        <v>6504982.9972493155</v>
      </c>
      <c r="X119" s="232">
        <v>1845</v>
      </c>
      <c r="Y119" s="232">
        <v>797</v>
      </c>
      <c r="Z119" s="234">
        <v>6.5000000000000002E-2</v>
      </c>
      <c r="AA119" s="232">
        <v>267</v>
      </c>
      <c r="AB119" s="232">
        <v>152</v>
      </c>
      <c r="AC119" s="232" t="s">
        <v>566</v>
      </c>
      <c r="AD119" s="232" t="s">
        <v>566</v>
      </c>
      <c r="AE119" s="430">
        <v>0</v>
      </c>
    </row>
    <row r="120" spans="1:31" x14ac:dyDescent="0.25">
      <c r="A120" s="108">
        <v>5606</v>
      </c>
      <c r="B120" s="226" t="s">
        <v>214</v>
      </c>
      <c r="C120" s="368">
        <v>10843</v>
      </c>
      <c r="D120" s="371">
        <v>54</v>
      </c>
      <c r="E120" s="235">
        <v>0.7</v>
      </c>
      <c r="F120" s="231">
        <v>34566450.700000003</v>
      </c>
      <c r="G120" s="232">
        <v>8913766.3300000001</v>
      </c>
      <c r="H120" s="232">
        <v>-1739739.4</v>
      </c>
      <c r="I120" s="232">
        <v>5635383.5499999998</v>
      </c>
      <c r="J120" s="232">
        <v>1077538.76</v>
      </c>
      <c r="K120" s="232">
        <v>26289.08</v>
      </c>
      <c r="L120" s="232">
        <v>-213982.66</v>
      </c>
      <c r="M120" s="232"/>
      <c r="N120" s="425">
        <f>Paramètres!$K$20/(Données!$H$302+Données!$I$302)*(Données!H120+Données!I120)</f>
        <v>370386.77509235142</v>
      </c>
      <c r="O120" s="232">
        <v>2598667.35</v>
      </c>
      <c r="P120" s="232">
        <v>771127.08</v>
      </c>
      <c r="Q120" s="232">
        <v>227300.2</v>
      </c>
      <c r="R120" s="232">
        <v>-232992.31</v>
      </c>
      <c r="S120" s="232">
        <v>2139044.5499999998</v>
      </c>
      <c r="T120" s="232">
        <v>1336690.6000000001</v>
      </c>
      <c r="U120" s="232">
        <v>2059799.6</v>
      </c>
      <c r="V120" s="232">
        <v>130053.55</v>
      </c>
      <c r="W120" s="233">
        <f t="shared" si="1"/>
        <v>57665783.755092345</v>
      </c>
      <c r="X120" s="232">
        <v>838</v>
      </c>
      <c r="Y120" s="232">
        <v>76</v>
      </c>
      <c r="Z120" s="234">
        <v>0.16200000000000001</v>
      </c>
      <c r="AA120" s="232">
        <v>1049</v>
      </c>
      <c r="AB120" s="232">
        <v>198</v>
      </c>
      <c r="AC120" s="232">
        <v>4719732.96</v>
      </c>
      <c r="AD120" s="232">
        <v>-616138</v>
      </c>
      <c r="AE120" s="430">
        <v>1</v>
      </c>
    </row>
    <row r="121" spans="1:31" x14ac:dyDescent="0.25">
      <c r="A121" s="108">
        <v>5607</v>
      </c>
      <c r="B121" s="226" t="s">
        <v>215</v>
      </c>
      <c r="C121" s="368">
        <v>3014</v>
      </c>
      <c r="D121" s="371">
        <v>68.5</v>
      </c>
      <c r="E121" s="235">
        <v>1.1499999999999999</v>
      </c>
      <c r="F121" s="231">
        <v>5700508.3799999999</v>
      </c>
      <c r="G121" s="232">
        <v>1084414.56</v>
      </c>
      <c r="H121" s="232">
        <v>983582.35</v>
      </c>
      <c r="I121" s="232">
        <v>221519.15</v>
      </c>
      <c r="J121" s="232">
        <v>-80.25</v>
      </c>
      <c r="K121" s="232">
        <v>24491.5</v>
      </c>
      <c r="L121" s="232">
        <v>-78473.14</v>
      </c>
      <c r="M121" s="232"/>
      <c r="N121" s="425">
        <f>Paramètres!$K$20/(Données!$H$302+Données!$I$302)*(Données!H121+Données!I121)</f>
        <v>114577.6259476768</v>
      </c>
      <c r="O121" s="232">
        <v>970712.35</v>
      </c>
      <c r="P121" s="232">
        <v>228965.5</v>
      </c>
      <c r="Q121" s="232">
        <v>132299.4</v>
      </c>
      <c r="R121" s="232">
        <v>-86963.520000000004</v>
      </c>
      <c r="S121" s="232">
        <v>262278.65000000002</v>
      </c>
      <c r="T121" s="232">
        <v>209.2</v>
      </c>
      <c r="U121" s="232">
        <v>166463.25</v>
      </c>
      <c r="V121" s="232">
        <v>369484.5</v>
      </c>
      <c r="W121" s="233">
        <f t="shared" si="1"/>
        <v>10093989.505947677</v>
      </c>
      <c r="X121" s="232">
        <v>2223</v>
      </c>
      <c r="Y121" s="232">
        <v>126</v>
      </c>
      <c r="Z121" s="234">
        <v>0.17299999999999999</v>
      </c>
      <c r="AA121" s="232">
        <v>332</v>
      </c>
      <c r="AB121" s="232">
        <v>100</v>
      </c>
      <c r="AC121" s="232" t="s">
        <v>566</v>
      </c>
      <c r="AD121" s="232" t="s">
        <v>566</v>
      </c>
      <c r="AE121" s="430">
        <v>1</v>
      </c>
    </row>
    <row r="122" spans="1:31" x14ac:dyDescent="0.25">
      <c r="A122" s="108">
        <v>5609</v>
      </c>
      <c r="B122" s="226" t="s">
        <v>216</v>
      </c>
      <c r="C122" s="368">
        <v>330</v>
      </c>
      <c r="D122" s="371">
        <v>62</v>
      </c>
      <c r="E122" s="235">
        <v>1</v>
      </c>
      <c r="F122" s="231">
        <v>790220.02</v>
      </c>
      <c r="G122" s="232">
        <v>159507.35</v>
      </c>
      <c r="H122" s="232">
        <v>7702.95</v>
      </c>
      <c r="I122" s="232">
        <v>1370.1</v>
      </c>
      <c r="J122" s="232">
        <v>0</v>
      </c>
      <c r="K122" s="232">
        <v>0</v>
      </c>
      <c r="L122" s="232">
        <v>-1285.3900000000001</v>
      </c>
      <c r="M122" s="232"/>
      <c r="N122" s="425">
        <f>Paramètres!$K$20/(Données!$H$302+Données!$I$302)*(Données!H122+Données!I122)</f>
        <v>862.63981009447662</v>
      </c>
      <c r="O122" s="232">
        <v>65029.3</v>
      </c>
      <c r="P122" s="232">
        <v>15900.33</v>
      </c>
      <c r="Q122" s="232">
        <v>-3228.6</v>
      </c>
      <c r="R122" s="232">
        <v>-495.36</v>
      </c>
      <c r="S122" s="232">
        <v>35324.65</v>
      </c>
      <c r="T122" s="232">
        <v>0</v>
      </c>
      <c r="U122" s="232">
        <v>1382.95</v>
      </c>
      <c r="V122" s="232">
        <v>0</v>
      </c>
      <c r="W122" s="233">
        <f t="shared" si="1"/>
        <v>1072290.9398100944</v>
      </c>
      <c r="X122" s="232">
        <v>29</v>
      </c>
      <c r="Y122" s="232">
        <v>0</v>
      </c>
      <c r="Z122" s="234">
        <v>0.309</v>
      </c>
      <c r="AA122" s="232">
        <v>24</v>
      </c>
      <c r="AB122" s="232">
        <v>9</v>
      </c>
      <c r="AC122" s="232" t="s">
        <v>566</v>
      </c>
      <c r="AD122" s="232" t="s">
        <v>566</v>
      </c>
      <c r="AE122" s="430">
        <v>1</v>
      </c>
    </row>
    <row r="123" spans="1:31" x14ac:dyDescent="0.25">
      <c r="A123" s="108">
        <v>5610</v>
      </c>
      <c r="B123" s="226" t="s">
        <v>217</v>
      </c>
      <c r="C123" s="368">
        <v>393</v>
      </c>
      <c r="D123" s="371">
        <v>74</v>
      </c>
      <c r="E123" s="235">
        <v>1.2</v>
      </c>
      <c r="F123" s="231">
        <v>1175066.97</v>
      </c>
      <c r="G123" s="232">
        <v>333782.34000000003</v>
      </c>
      <c r="H123" s="232">
        <v>16381.4</v>
      </c>
      <c r="I123" s="232">
        <v>6391.15</v>
      </c>
      <c r="J123" s="232">
        <v>-1727.2</v>
      </c>
      <c r="K123" s="232">
        <v>0</v>
      </c>
      <c r="L123" s="232">
        <v>-1815.35</v>
      </c>
      <c r="M123" s="232"/>
      <c r="N123" s="425">
        <f>Paramètres!$K$20/(Données!$H$302+Données!$I$302)*(Données!H123+Données!I123)</f>
        <v>2165.1493386862162</v>
      </c>
      <c r="O123" s="232">
        <v>133311.75</v>
      </c>
      <c r="P123" s="232">
        <v>14557.18</v>
      </c>
      <c r="Q123" s="232">
        <v>6811.15</v>
      </c>
      <c r="R123" s="232">
        <v>-1456.1</v>
      </c>
      <c r="S123" s="232">
        <v>43505</v>
      </c>
      <c r="T123" s="232">
        <v>0</v>
      </c>
      <c r="U123" s="232">
        <v>81566.399999999994</v>
      </c>
      <c r="V123" s="232">
        <v>0</v>
      </c>
      <c r="W123" s="233">
        <f t="shared" si="1"/>
        <v>1808539.8393386856</v>
      </c>
      <c r="X123" s="232">
        <v>87</v>
      </c>
      <c r="Y123" s="232">
        <v>0</v>
      </c>
      <c r="Z123" s="234">
        <v>0.41799999999999998</v>
      </c>
      <c r="AA123" s="232">
        <v>30</v>
      </c>
      <c r="AB123" s="232">
        <v>19</v>
      </c>
      <c r="AC123" s="232" t="s">
        <v>566</v>
      </c>
      <c r="AD123" s="232" t="s">
        <v>566</v>
      </c>
      <c r="AE123" s="430">
        <v>1</v>
      </c>
    </row>
    <row r="124" spans="1:31" x14ac:dyDescent="0.25">
      <c r="A124" s="108">
        <v>5611</v>
      </c>
      <c r="B124" s="226" t="s">
        <v>218</v>
      </c>
      <c r="C124" s="368">
        <v>3598</v>
      </c>
      <c r="D124" s="371">
        <v>69</v>
      </c>
      <c r="E124" s="235">
        <v>1.2</v>
      </c>
      <c r="F124" s="231">
        <v>7913654.29</v>
      </c>
      <c r="G124" s="232">
        <v>1380085.12</v>
      </c>
      <c r="H124" s="232">
        <v>200482.2</v>
      </c>
      <c r="I124" s="232">
        <v>25656.3</v>
      </c>
      <c r="J124" s="232">
        <v>61535.8</v>
      </c>
      <c r="K124" s="232">
        <v>26361.01</v>
      </c>
      <c r="L124" s="232">
        <v>-140276.68</v>
      </c>
      <c r="M124" s="232"/>
      <c r="N124" s="425">
        <f>Paramètres!$K$20/(Données!$H$302+Données!$I$302)*(Données!H124+Données!I124)</f>
        <v>21500.60593681836</v>
      </c>
      <c r="O124" s="232">
        <v>909058.15</v>
      </c>
      <c r="P124" s="232">
        <v>165820.37</v>
      </c>
      <c r="Q124" s="232">
        <v>27838.400000000001</v>
      </c>
      <c r="R124" s="232">
        <v>-9153.65</v>
      </c>
      <c r="S124" s="232">
        <v>393220.3</v>
      </c>
      <c r="T124" s="232">
        <v>363242.1</v>
      </c>
      <c r="U124" s="232">
        <v>326471.40000000002</v>
      </c>
      <c r="V124" s="232">
        <v>160547.65</v>
      </c>
      <c r="W124" s="233">
        <f t="shared" si="1"/>
        <v>11826043.365936819</v>
      </c>
      <c r="X124" s="232">
        <v>1607</v>
      </c>
      <c r="Y124" s="232">
        <v>3593</v>
      </c>
      <c r="Z124" s="234">
        <v>6.0999999999999999E-2</v>
      </c>
      <c r="AA124" s="232">
        <v>445</v>
      </c>
      <c r="AB124" s="232">
        <v>292</v>
      </c>
      <c r="AC124" s="232" t="s">
        <v>566</v>
      </c>
      <c r="AD124" s="232" t="s">
        <v>566</v>
      </c>
      <c r="AE124" s="430">
        <v>1</v>
      </c>
    </row>
    <row r="125" spans="1:31" x14ac:dyDescent="0.25">
      <c r="A125" s="108">
        <v>5613</v>
      </c>
      <c r="B125" s="226" t="s">
        <v>219</v>
      </c>
      <c r="C125" s="368">
        <v>5558</v>
      </c>
      <c r="D125" s="371">
        <v>62.5</v>
      </c>
      <c r="E125" s="235">
        <v>1.5</v>
      </c>
      <c r="F125" s="231">
        <v>18057600.289999999</v>
      </c>
      <c r="G125" s="232">
        <v>5090680.43</v>
      </c>
      <c r="H125" s="232">
        <v>251879.05</v>
      </c>
      <c r="I125" s="232">
        <v>34217.85</v>
      </c>
      <c r="J125" s="232">
        <v>226561.3</v>
      </c>
      <c r="K125" s="232">
        <v>47383.23</v>
      </c>
      <c r="L125" s="232">
        <v>-234687.46</v>
      </c>
      <c r="M125" s="232"/>
      <c r="N125" s="425">
        <f>Paramètres!$K$20/(Données!$H$302+Données!$I$302)*(Données!H125+Données!I125)</f>
        <v>27201.280218296877</v>
      </c>
      <c r="O125" s="232">
        <v>2581603.7999999998</v>
      </c>
      <c r="P125" s="232">
        <v>474664.69</v>
      </c>
      <c r="Q125" s="232">
        <v>44800.1</v>
      </c>
      <c r="R125" s="232">
        <v>-34627.800000000003</v>
      </c>
      <c r="S125" s="232">
        <v>1417941.35</v>
      </c>
      <c r="T125" s="232">
        <v>445806.8</v>
      </c>
      <c r="U125" s="232">
        <v>1358937.85</v>
      </c>
      <c r="V125" s="232">
        <v>53225.2</v>
      </c>
      <c r="W125" s="233">
        <f t="shared" si="1"/>
        <v>29843187.960218303</v>
      </c>
      <c r="X125" s="232">
        <v>961</v>
      </c>
      <c r="Y125" s="232">
        <v>183</v>
      </c>
      <c r="Z125" s="234">
        <v>0.27900000000000003</v>
      </c>
      <c r="AA125" s="232">
        <v>516</v>
      </c>
      <c r="AB125" s="232">
        <v>266</v>
      </c>
      <c r="AC125" s="232" t="s">
        <v>566</v>
      </c>
      <c r="AD125" s="232" t="s">
        <v>566</v>
      </c>
      <c r="AE125" s="430">
        <v>1</v>
      </c>
    </row>
    <row r="126" spans="1:31" x14ac:dyDescent="0.25">
      <c r="A126" s="108">
        <v>5621</v>
      </c>
      <c r="B126" s="226" t="s">
        <v>220</v>
      </c>
      <c r="C126" s="368">
        <v>609</v>
      </c>
      <c r="D126" s="371">
        <v>60</v>
      </c>
      <c r="E126" s="235">
        <v>1.1000000000000001</v>
      </c>
      <c r="F126" s="231">
        <v>1224483.6599999999</v>
      </c>
      <c r="G126" s="232">
        <v>144152.67000000001</v>
      </c>
      <c r="H126" s="232">
        <v>447139.1</v>
      </c>
      <c r="I126" s="232">
        <v>24693.45</v>
      </c>
      <c r="J126" s="232">
        <v>0</v>
      </c>
      <c r="K126" s="232">
        <v>884.54</v>
      </c>
      <c r="L126" s="232">
        <v>-9326.98</v>
      </c>
      <c r="M126" s="232"/>
      <c r="N126" s="425">
        <f>Paramètres!$K$20/(Données!$H$302+Données!$I$302)*(Données!H126+Données!I126)</f>
        <v>44860.497994433259</v>
      </c>
      <c r="O126" s="232">
        <v>359058.3</v>
      </c>
      <c r="P126" s="232">
        <v>81289.8</v>
      </c>
      <c r="Q126" s="232">
        <v>37132.050000000003</v>
      </c>
      <c r="R126" s="232">
        <v>-181.15</v>
      </c>
      <c r="S126" s="232">
        <v>316437.25</v>
      </c>
      <c r="T126" s="232">
        <v>0</v>
      </c>
      <c r="U126" s="232">
        <v>54878.65</v>
      </c>
      <c r="V126" s="232">
        <v>497931.55</v>
      </c>
      <c r="W126" s="233">
        <f t="shared" si="1"/>
        <v>3223433.3879944324</v>
      </c>
      <c r="X126" s="232">
        <v>389</v>
      </c>
      <c r="Y126" s="232">
        <v>0</v>
      </c>
      <c r="Z126" s="234">
        <v>4.5999999999999999E-2</v>
      </c>
      <c r="AA126" s="232">
        <v>71</v>
      </c>
      <c r="AB126" s="232">
        <v>48</v>
      </c>
      <c r="AC126" s="232" t="s">
        <v>566</v>
      </c>
      <c r="AD126" s="232" t="s">
        <v>566</v>
      </c>
      <c r="AE126" s="430">
        <v>0</v>
      </c>
    </row>
    <row r="127" spans="1:31" x14ac:dyDescent="0.25">
      <c r="A127" s="108">
        <v>5622</v>
      </c>
      <c r="B127" s="226" t="s">
        <v>221</v>
      </c>
      <c r="C127" s="368">
        <v>596</v>
      </c>
      <c r="D127" s="371">
        <v>68</v>
      </c>
      <c r="E127" s="235">
        <v>1</v>
      </c>
      <c r="F127" s="231">
        <v>1814456.55</v>
      </c>
      <c r="G127" s="232">
        <v>324075.71000000002</v>
      </c>
      <c r="H127" s="232">
        <v>101773.35</v>
      </c>
      <c r="I127" s="232">
        <v>2832.8</v>
      </c>
      <c r="J127" s="232">
        <v>0</v>
      </c>
      <c r="K127" s="232">
        <v>0</v>
      </c>
      <c r="L127" s="232">
        <v>-20455.89</v>
      </c>
      <c r="M127" s="232"/>
      <c r="N127" s="425">
        <f>Paramètres!$K$20/(Données!$H$302+Données!$I$302)*(Données!H127+Données!I127)</f>
        <v>9945.655470951262</v>
      </c>
      <c r="O127" s="232">
        <v>171286.05</v>
      </c>
      <c r="P127" s="232">
        <v>23398.2</v>
      </c>
      <c r="Q127" s="232">
        <v>6741.2</v>
      </c>
      <c r="R127" s="232">
        <v>-472.78</v>
      </c>
      <c r="S127" s="232">
        <v>86835.1</v>
      </c>
      <c r="T127" s="232">
        <f>109861.6-109000</f>
        <v>861.60000000000582</v>
      </c>
      <c r="U127" s="232">
        <v>66988.850000000006</v>
      </c>
      <c r="V127" s="232">
        <v>49024.35</v>
      </c>
      <c r="W127" s="233">
        <f t="shared" si="1"/>
        <v>2637290.7454709522</v>
      </c>
      <c r="X127" s="232">
        <v>292</v>
      </c>
      <c r="Y127" s="232">
        <v>0</v>
      </c>
      <c r="Z127" s="234">
        <v>2.9000000000000001E-2</v>
      </c>
      <c r="AA127" s="232">
        <v>70</v>
      </c>
      <c r="AB127" s="232">
        <v>49</v>
      </c>
      <c r="AC127" s="232" t="s">
        <v>566</v>
      </c>
      <c r="AD127" s="232" t="s">
        <v>566</v>
      </c>
      <c r="AE127" s="430">
        <v>0</v>
      </c>
    </row>
    <row r="128" spans="1:31" x14ac:dyDescent="0.25">
      <c r="A128" s="108">
        <v>5623</v>
      </c>
      <c r="B128" s="226" t="s">
        <v>222</v>
      </c>
      <c r="C128" s="368">
        <v>682</v>
      </c>
      <c r="D128" s="371">
        <v>52</v>
      </c>
      <c r="E128" s="235">
        <v>1</v>
      </c>
      <c r="F128" s="231">
        <f>3361647.26-620000</f>
        <v>2741647.26</v>
      </c>
      <c r="G128" s="232">
        <v>1520163.04</v>
      </c>
      <c r="H128" s="232">
        <v>89134.1</v>
      </c>
      <c r="I128" s="232">
        <v>162938.9</v>
      </c>
      <c r="J128" s="232">
        <v>177691.85</v>
      </c>
      <c r="K128" s="232">
        <v>1288.27</v>
      </c>
      <c r="L128" s="232">
        <v>-3642.52</v>
      </c>
      <c r="M128" s="232"/>
      <c r="N128" s="425">
        <f>Paramètres!$K$20/(Données!$H$302+Données!$I$302)*(Données!H128+Données!I128)</f>
        <v>23966.384495836024</v>
      </c>
      <c r="O128" s="232">
        <v>397868.35</v>
      </c>
      <c r="P128" s="232">
        <v>-49163.45</v>
      </c>
      <c r="Q128" s="232">
        <v>2581.8000000000002</v>
      </c>
      <c r="R128" s="232">
        <v>-44811.37</v>
      </c>
      <c r="S128" s="232">
        <v>252917.5</v>
      </c>
      <c r="T128" s="232">
        <v>1633.8</v>
      </c>
      <c r="U128" s="232">
        <v>272388.15000000002</v>
      </c>
      <c r="V128" s="232">
        <v>1506.9</v>
      </c>
      <c r="W128" s="233">
        <f t="shared" si="1"/>
        <v>5548108.9644958349</v>
      </c>
      <c r="X128" s="232">
        <v>211</v>
      </c>
      <c r="Y128" s="232">
        <v>0</v>
      </c>
      <c r="Z128" s="234">
        <v>3.9E-2</v>
      </c>
      <c r="AA128" s="232">
        <v>53</v>
      </c>
      <c r="AB128" s="232">
        <v>24</v>
      </c>
      <c r="AC128" s="232" t="s">
        <v>566</v>
      </c>
      <c r="AD128" s="232" t="s">
        <v>566</v>
      </c>
      <c r="AE128" s="430">
        <v>1</v>
      </c>
    </row>
    <row r="129" spans="1:31" x14ac:dyDescent="0.25">
      <c r="A129" s="108">
        <v>5624</v>
      </c>
      <c r="B129" s="226" t="s">
        <v>223</v>
      </c>
      <c r="C129" s="368">
        <v>12138</v>
      </c>
      <c r="D129" s="371">
        <v>62.5</v>
      </c>
      <c r="E129" s="235">
        <v>1.25</v>
      </c>
      <c r="F129" s="231">
        <v>18667988.489999998</v>
      </c>
      <c r="G129" s="232">
        <v>1809506.35</v>
      </c>
      <c r="H129" s="232">
        <v>1895066.2</v>
      </c>
      <c r="I129" s="232">
        <v>219972</v>
      </c>
      <c r="J129" s="232">
        <v>0</v>
      </c>
      <c r="K129" s="232">
        <v>37240.11</v>
      </c>
      <c r="L129" s="232">
        <v>-367823.6</v>
      </c>
      <c r="M129" s="232"/>
      <c r="N129" s="425">
        <f>Paramètres!$K$20/(Données!$H$302+Données!$I$302)*(Données!H129+Données!I129)</f>
        <v>201091.82151432693</v>
      </c>
      <c r="O129" s="232">
        <v>3451791.85</v>
      </c>
      <c r="P129" s="232">
        <v>1489134.9</v>
      </c>
      <c r="Q129" s="232">
        <v>507525.5</v>
      </c>
      <c r="R129" s="232">
        <v>-7744.95</v>
      </c>
      <c r="S129" s="232">
        <v>1239743.75</v>
      </c>
      <c r="T129" s="232">
        <v>104213.9</v>
      </c>
      <c r="U129" s="232">
        <v>491320.5</v>
      </c>
      <c r="V129" s="232">
        <v>1893432.95</v>
      </c>
      <c r="W129" s="233">
        <f t="shared" si="1"/>
        <v>31632459.771514323</v>
      </c>
      <c r="X129" s="232">
        <v>474</v>
      </c>
      <c r="Y129" s="232">
        <v>0</v>
      </c>
      <c r="Z129" s="234">
        <v>5.8000000000000003E-2</v>
      </c>
      <c r="AA129" s="232">
        <v>1512</v>
      </c>
      <c r="AB129" s="232">
        <v>45</v>
      </c>
      <c r="AC129" s="232">
        <v>3499545.96</v>
      </c>
      <c r="AD129" s="232">
        <v>-401763.87382766278</v>
      </c>
      <c r="AE129" s="430">
        <v>1</v>
      </c>
    </row>
    <row r="130" spans="1:31" x14ac:dyDescent="0.25">
      <c r="A130" s="108">
        <v>5627</v>
      </c>
      <c r="B130" s="226" t="s">
        <v>224</v>
      </c>
      <c r="C130" s="368">
        <v>10735</v>
      </c>
      <c r="D130" s="371">
        <v>77.5</v>
      </c>
      <c r="E130" s="235">
        <v>1.5</v>
      </c>
      <c r="F130" s="231">
        <v>13233540.02</v>
      </c>
      <c r="G130" s="232">
        <v>509627.02</v>
      </c>
      <c r="H130" s="232">
        <v>2069641.8</v>
      </c>
      <c r="I130" s="232">
        <v>235751.9</v>
      </c>
      <c r="J130" s="232">
        <v>0</v>
      </c>
      <c r="K130" s="232">
        <v>75596.03</v>
      </c>
      <c r="L130" s="232">
        <v>-395461.3</v>
      </c>
      <c r="M130" s="232"/>
      <c r="N130" s="425">
        <f>Paramètres!$K$20/(Données!$H$302+Données!$I$302)*(Données!H130+Données!I130)</f>
        <v>219190.28149971654</v>
      </c>
      <c r="O130" s="232">
        <v>1969604.25</v>
      </c>
      <c r="P130" s="232">
        <v>1474463.83</v>
      </c>
      <c r="Q130" s="232">
        <v>329914.05</v>
      </c>
      <c r="R130" s="232">
        <v>-4945.3999999999996</v>
      </c>
      <c r="S130" s="232">
        <v>800580.1</v>
      </c>
      <c r="T130" s="232">
        <v>104131.4</v>
      </c>
      <c r="U130" s="232">
        <v>131332.9</v>
      </c>
      <c r="V130" s="232">
        <v>577812.19999999995</v>
      </c>
      <c r="W130" s="233">
        <f t="shared" si="1"/>
        <v>21330779.081499718</v>
      </c>
      <c r="X130" s="232">
        <v>165</v>
      </c>
      <c r="Y130" s="232">
        <v>0</v>
      </c>
      <c r="Z130" s="234">
        <v>7.3999999999999996E-2</v>
      </c>
      <c r="AA130" s="232">
        <v>1066</v>
      </c>
      <c r="AB130" s="232">
        <v>12</v>
      </c>
      <c r="AC130" s="232">
        <v>3354534</v>
      </c>
      <c r="AD130" s="232">
        <v>-233550</v>
      </c>
      <c r="AE130" s="430">
        <v>1</v>
      </c>
    </row>
    <row r="131" spans="1:31" x14ac:dyDescent="0.25">
      <c r="A131" s="108">
        <v>5628</v>
      </c>
      <c r="B131" s="226" t="s">
        <v>225</v>
      </c>
      <c r="C131" s="368">
        <v>410</v>
      </c>
      <c r="D131" s="371">
        <v>62</v>
      </c>
      <c r="E131" s="235">
        <v>1</v>
      </c>
      <c r="F131" s="231">
        <v>1684003.64</v>
      </c>
      <c r="G131" s="232">
        <v>0</v>
      </c>
      <c r="H131" s="232">
        <v>8460</v>
      </c>
      <c r="I131" s="232">
        <v>1726.1</v>
      </c>
      <c r="J131" s="232">
        <v>0</v>
      </c>
      <c r="K131" s="232">
        <v>0</v>
      </c>
      <c r="L131" s="232">
        <v>-20199.52</v>
      </c>
      <c r="M131" s="232"/>
      <c r="N131" s="425">
        <f>Paramètres!$K$20/(Données!$H$302+Données!$I$302)*(Données!H131+Données!I131)</f>
        <v>968.46544101524296</v>
      </c>
      <c r="O131" s="232">
        <v>119976.3</v>
      </c>
      <c r="P131" s="232">
        <v>19331.53</v>
      </c>
      <c r="Q131" s="232">
        <v>1308</v>
      </c>
      <c r="R131" s="232">
        <v>-2526.8000000000002</v>
      </c>
      <c r="S131" s="232">
        <v>69355</v>
      </c>
      <c r="T131" s="232">
        <v>0</v>
      </c>
      <c r="U131" s="232">
        <v>52817.15</v>
      </c>
      <c r="V131" s="232">
        <v>851.65</v>
      </c>
      <c r="W131" s="233">
        <f t="shared" si="1"/>
        <v>1936071.5154410151</v>
      </c>
      <c r="X131" s="232">
        <v>86</v>
      </c>
      <c r="Y131" s="232">
        <v>0</v>
      </c>
      <c r="Z131" s="234">
        <v>5.5E-2</v>
      </c>
      <c r="AA131" s="232">
        <v>56</v>
      </c>
      <c r="AB131" s="232">
        <v>4</v>
      </c>
      <c r="AC131" s="232" t="s">
        <v>566</v>
      </c>
      <c r="AD131" s="232" t="s">
        <v>566</v>
      </c>
      <c r="AE131" s="430">
        <v>0</v>
      </c>
    </row>
    <row r="132" spans="1:31" x14ac:dyDescent="0.25">
      <c r="A132" s="108">
        <v>5629</v>
      </c>
      <c r="B132" s="226" t="s">
        <v>226</v>
      </c>
      <c r="C132" s="368">
        <v>232</v>
      </c>
      <c r="D132" s="371">
        <v>72</v>
      </c>
      <c r="E132" s="235">
        <v>1</v>
      </c>
      <c r="F132" s="231">
        <v>533099.67000000004</v>
      </c>
      <c r="G132" s="232">
        <v>69370.649999999994</v>
      </c>
      <c r="H132" s="232">
        <v>2551.3000000000002</v>
      </c>
      <c r="I132" s="232">
        <v>1026.25</v>
      </c>
      <c r="J132" s="232">
        <v>0</v>
      </c>
      <c r="K132" s="232">
        <v>0</v>
      </c>
      <c r="L132" s="232">
        <v>-99.65</v>
      </c>
      <c r="M132" s="232"/>
      <c r="N132" s="425">
        <f>Paramètres!$K$20/(Données!$H$302+Données!$I$302)*(Données!H132+Données!I132)</f>
        <v>340.14328727423475</v>
      </c>
      <c r="O132" s="232">
        <v>42253</v>
      </c>
      <c r="P132" s="232">
        <v>14220.61</v>
      </c>
      <c r="Q132" s="232">
        <v>2493</v>
      </c>
      <c r="R132" s="232">
        <v>-319.7</v>
      </c>
      <c r="S132" s="232">
        <v>0</v>
      </c>
      <c r="T132" s="232">
        <v>0</v>
      </c>
      <c r="U132" s="232">
        <v>0</v>
      </c>
      <c r="V132" s="232">
        <v>0</v>
      </c>
      <c r="W132" s="233">
        <f t="shared" si="1"/>
        <v>664935.27328727441</v>
      </c>
      <c r="X132" s="232">
        <v>101</v>
      </c>
      <c r="Y132" s="232">
        <v>0</v>
      </c>
      <c r="Z132" s="234">
        <v>4.3999999999999997E-2</v>
      </c>
      <c r="AA132" s="232">
        <v>24</v>
      </c>
      <c r="AB132" s="232">
        <v>1</v>
      </c>
      <c r="AC132" s="232" t="s">
        <v>566</v>
      </c>
      <c r="AD132" s="232" t="s">
        <v>566</v>
      </c>
      <c r="AE132" s="430">
        <v>0</v>
      </c>
    </row>
    <row r="133" spans="1:31" x14ac:dyDescent="0.25">
      <c r="A133" s="108">
        <v>5631</v>
      </c>
      <c r="B133" s="226" t="s">
        <v>227</v>
      </c>
      <c r="C133" s="368">
        <v>748</v>
      </c>
      <c r="D133" s="371">
        <v>65</v>
      </c>
      <c r="E133" s="235">
        <v>1</v>
      </c>
      <c r="F133" s="231">
        <v>2273907.21</v>
      </c>
      <c r="G133" s="232">
        <v>386750.7</v>
      </c>
      <c r="H133" s="232">
        <v>2646.45</v>
      </c>
      <c r="I133" s="232">
        <v>2769.55</v>
      </c>
      <c r="J133" s="232">
        <v>247594.93</v>
      </c>
      <c r="K133" s="232">
        <v>0</v>
      </c>
      <c r="L133" s="232">
        <v>-3343.1</v>
      </c>
      <c r="M133" s="232"/>
      <c r="N133" s="425">
        <f>Paramètres!$K$20/(Données!$H$302+Données!$I$302)*(Données!H133+Données!I133)</f>
        <v>514.93788874432369</v>
      </c>
      <c r="O133" s="232">
        <v>228798.9</v>
      </c>
      <c r="P133" s="232">
        <v>4329.99</v>
      </c>
      <c r="Q133" s="232">
        <v>3209.15</v>
      </c>
      <c r="R133" s="232">
        <v>-3738.45</v>
      </c>
      <c r="S133" s="232">
        <v>170517.35</v>
      </c>
      <c r="T133" s="232">
        <f>277628.2-270000</f>
        <v>7628.2000000000116</v>
      </c>
      <c r="U133" s="232">
        <f>278729.35-155000</f>
        <v>123729.34999999998</v>
      </c>
      <c r="V133" s="232">
        <v>2971.65</v>
      </c>
      <c r="W133" s="233">
        <f t="shared" si="1"/>
        <v>3448286.8178887446</v>
      </c>
      <c r="X133" s="232">
        <v>329</v>
      </c>
      <c r="Y133" s="232">
        <v>0</v>
      </c>
      <c r="Z133" s="234">
        <v>4.0000000000000001E-3</v>
      </c>
      <c r="AA133" s="232">
        <v>75</v>
      </c>
      <c r="AB133" s="232">
        <v>57</v>
      </c>
      <c r="AC133" s="232" t="s">
        <v>566</v>
      </c>
      <c r="AD133" s="232" t="s">
        <v>566</v>
      </c>
      <c r="AE133" s="430">
        <v>0</v>
      </c>
    </row>
    <row r="134" spans="1:31" x14ac:dyDescent="0.25">
      <c r="A134" s="108">
        <v>5632</v>
      </c>
      <c r="B134" s="226" t="s">
        <v>228</v>
      </c>
      <c r="C134" s="368">
        <v>1844</v>
      </c>
      <c r="D134" s="371">
        <v>62</v>
      </c>
      <c r="E134" s="235">
        <v>1</v>
      </c>
      <c r="F134" s="231">
        <v>3774127.62</v>
      </c>
      <c r="G134" s="232">
        <v>652386.30000000005</v>
      </c>
      <c r="H134" s="232">
        <v>169278.45</v>
      </c>
      <c r="I134" s="232">
        <v>17106.75</v>
      </c>
      <c r="J134" s="232">
        <v>0</v>
      </c>
      <c r="K134" s="232">
        <v>23655.200000000001</v>
      </c>
      <c r="L134" s="232">
        <v>-30407.78</v>
      </c>
      <c r="M134" s="232"/>
      <c r="N134" s="425">
        <f>Paramètres!$K$20/(Données!$H$302+Données!$I$302)*(Données!H134+Données!I134)</f>
        <v>17720.975144237171</v>
      </c>
      <c r="O134" s="232">
        <v>430157.75</v>
      </c>
      <c r="P134" s="232">
        <v>203888.81</v>
      </c>
      <c r="Q134" s="232">
        <v>14932.6</v>
      </c>
      <c r="R134" s="232">
        <v>-2151.4499999999998</v>
      </c>
      <c r="S134" s="232">
        <v>819792.75</v>
      </c>
      <c r="T134" s="232">
        <v>215462.6</v>
      </c>
      <c r="U134" s="232">
        <v>599980.4</v>
      </c>
      <c r="V134" s="232">
        <v>112446.45</v>
      </c>
      <c r="W134" s="233">
        <f t="shared" si="1"/>
        <v>7018377.4251442365</v>
      </c>
      <c r="X134" s="232">
        <v>166</v>
      </c>
      <c r="Y134" s="232">
        <v>0</v>
      </c>
      <c r="Z134" s="234">
        <v>4.1000000000000002E-2</v>
      </c>
      <c r="AA134" s="232">
        <v>177</v>
      </c>
      <c r="AB134" s="232">
        <v>6</v>
      </c>
      <c r="AC134" s="232">
        <v>572242.80750217719</v>
      </c>
      <c r="AD134" s="232">
        <v>-57638.32254261378</v>
      </c>
      <c r="AE134" s="430">
        <v>0</v>
      </c>
    </row>
    <row r="135" spans="1:31" x14ac:dyDescent="0.25">
      <c r="A135" s="108">
        <v>5633</v>
      </c>
      <c r="B135" s="226" t="s">
        <v>229</v>
      </c>
      <c r="C135" s="368">
        <v>3116</v>
      </c>
      <c r="D135" s="371">
        <v>60.5</v>
      </c>
      <c r="E135" s="235">
        <v>1</v>
      </c>
      <c r="F135" s="231">
        <v>6180846.5199999996</v>
      </c>
      <c r="G135" s="232">
        <v>1496919.08</v>
      </c>
      <c r="H135" s="232">
        <v>403587.8</v>
      </c>
      <c r="I135" s="232">
        <v>47811.45</v>
      </c>
      <c r="J135" s="232">
        <v>0</v>
      </c>
      <c r="K135" s="232">
        <v>5437.32</v>
      </c>
      <c r="L135" s="232">
        <v>-29291.62</v>
      </c>
      <c r="M135" s="232"/>
      <c r="N135" s="425">
        <f>Paramètres!$K$20/(Données!$H$302+Données!$I$302)*(Données!H135+Données!I135)</f>
        <v>42917.757898037511</v>
      </c>
      <c r="O135" s="232">
        <v>758064.15</v>
      </c>
      <c r="P135" s="232">
        <v>219973.82</v>
      </c>
      <c r="Q135" s="232">
        <v>53352.2</v>
      </c>
      <c r="R135" s="232">
        <v>-38281.4</v>
      </c>
      <c r="S135" s="232">
        <v>427251.95</v>
      </c>
      <c r="T135" s="232">
        <v>13690.9</v>
      </c>
      <c r="U135" s="232">
        <v>289492.59999999998</v>
      </c>
      <c r="V135" s="232">
        <v>331730.55</v>
      </c>
      <c r="W135" s="233">
        <f t="shared" si="1"/>
        <v>10203503.077898037</v>
      </c>
      <c r="X135" s="232">
        <v>384</v>
      </c>
      <c r="Y135" s="232">
        <v>0</v>
      </c>
      <c r="Z135" s="234">
        <v>4.5999999999999999E-2</v>
      </c>
      <c r="AA135" s="232">
        <v>232</v>
      </c>
      <c r="AB135" s="232">
        <v>81</v>
      </c>
      <c r="AC135" s="232">
        <v>1119194.1514130477</v>
      </c>
      <c r="AD135" s="232">
        <v>-110964.19919127203</v>
      </c>
      <c r="AE135" s="430">
        <v>0</v>
      </c>
    </row>
    <row r="136" spans="1:31" x14ac:dyDescent="0.25">
      <c r="A136" s="108">
        <v>5634</v>
      </c>
      <c r="B136" s="226" t="s">
        <v>230</v>
      </c>
      <c r="C136" s="368">
        <v>3241</v>
      </c>
      <c r="D136" s="371">
        <v>66</v>
      </c>
      <c r="E136" s="235">
        <v>1</v>
      </c>
      <c r="F136" s="231">
        <v>8682448.6500000004</v>
      </c>
      <c r="G136" s="232">
        <v>1650781.76</v>
      </c>
      <c r="H136" s="232">
        <v>79757.399999999994</v>
      </c>
      <c r="I136" s="232">
        <v>25090.65</v>
      </c>
      <c r="J136" s="232">
        <v>38670</v>
      </c>
      <c r="K136" s="232">
        <v>1081.31</v>
      </c>
      <c r="L136" s="232">
        <v>-63093.93</v>
      </c>
      <c r="M136" s="232"/>
      <c r="N136" s="425">
        <f>Paramètres!$K$20/(Données!$H$302+Données!$I$302)*(Données!H136+Données!I136)</f>
        <v>9968.6546355168539</v>
      </c>
      <c r="O136" s="232">
        <v>806860.65</v>
      </c>
      <c r="P136" s="232">
        <v>103770.42</v>
      </c>
      <c r="Q136" s="232">
        <v>18683.400000000001</v>
      </c>
      <c r="R136" s="232">
        <v>-15247.45</v>
      </c>
      <c r="S136" s="232">
        <v>649989.19999999995</v>
      </c>
      <c r="T136" s="232">
        <v>552086.69999999995</v>
      </c>
      <c r="U136" s="232">
        <v>452779.05</v>
      </c>
      <c r="V136" s="232">
        <v>102596.9</v>
      </c>
      <c r="W136" s="233">
        <f t="shared" si="1"/>
        <v>13096223.36463552</v>
      </c>
      <c r="X136" s="232">
        <v>1325</v>
      </c>
      <c r="Y136" s="232">
        <v>0</v>
      </c>
      <c r="Z136" s="234">
        <v>2.1999999999999999E-2</v>
      </c>
      <c r="AA136" s="232">
        <v>421</v>
      </c>
      <c r="AB136" s="232">
        <v>167</v>
      </c>
      <c r="AC136" s="232">
        <v>419595.96911947551</v>
      </c>
      <c r="AD136" s="232">
        <v>-63666.142016689992</v>
      </c>
      <c r="AE136" s="430">
        <v>0</v>
      </c>
    </row>
    <row r="137" spans="1:31" x14ac:dyDescent="0.25">
      <c r="A137" s="108">
        <v>5635</v>
      </c>
      <c r="B137" s="226" t="s">
        <v>231</v>
      </c>
      <c r="C137" s="368">
        <v>13758</v>
      </c>
      <c r="D137" s="371">
        <v>62.5</v>
      </c>
      <c r="E137" s="235">
        <v>1.2</v>
      </c>
      <c r="F137" s="231">
        <v>19632597.940000001</v>
      </c>
      <c r="G137" s="232">
        <v>3574377.62</v>
      </c>
      <c r="H137" s="232">
        <v>6805818.7000000002</v>
      </c>
      <c r="I137" s="232">
        <v>459771.55</v>
      </c>
      <c r="J137" s="232">
        <v>97844.85</v>
      </c>
      <c r="K137" s="232">
        <v>210919.92</v>
      </c>
      <c r="L137" s="232">
        <v>-652784.30000000005</v>
      </c>
      <c r="M137" s="232"/>
      <c r="N137" s="425">
        <f>Paramètres!$K$20/(Données!$H$302+Données!$I$302)*(Données!H137+Données!I137)</f>
        <v>690791.67352591269</v>
      </c>
      <c r="O137" s="232">
        <v>3471022.95</v>
      </c>
      <c r="P137" s="232">
        <v>1865422.47</v>
      </c>
      <c r="Q137" s="232">
        <v>525253.69999999995</v>
      </c>
      <c r="R137" s="232">
        <v>-62853.279999999999</v>
      </c>
      <c r="S137" s="232">
        <v>1313126.3500000001</v>
      </c>
      <c r="T137" s="232">
        <v>229678.5</v>
      </c>
      <c r="U137" s="232">
        <v>1015030.05</v>
      </c>
      <c r="V137" s="232">
        <v>2742274.45</v>
      </c>
      <c r="W137" s="233">
        <f t="shared" ref="W137:W200" si="2">SUM(F137:V137)</f>
        <v>41918293.143525921</v>
      </c>
      <c r="X137" s="232">
        <v>565</v>
      </c>
      <c r="Y137" s="232">
        <v>0</v>
      </c>
      <c r="Z137" s="234">
        <v>5.6000000000000001E-2</v>
      </c>
      <c r="AA137" s="232">
        <v>1425</v>
      </c>
      <c r="AB137" s="232">
        <v>31</v>
      </c>
      <c r="AC137" s="232">
        <v>5456980.96</v>
      </c>
      <c r="AD137" s="232">
        <v>-539256.70132301247</v>
      </c>
      <c r="AE137" s="430">
        <v>1</v>
      </c>
    </row>
    <row r="138" spans="1:31" x14ac:dyDescent="0.25">
      <c r="A138" s="108">
        <v>5636</v>
      </c>
      <c r="B138" s="226" t="s">
        <v>232</v>
      </c>
      <c r="C138" s="368">
        <v>3013</v>
      </c>
      <c r="D138" s="371">
        <v>60</v>
      </c>
      <c r="E138" s="235">
        <v>1</v>
      </c>
      <c r="F138" s="231">
        <v>6738448.9500000002</v>
      </c>
      <c r="G138" s="232">
        <v>1227717.74</v>
      </c>
      <c r="H138" s="232">
        <f>6344012.15-3750000</f>
        <v>2594012.1500000004</v>
      </c>
      <c r="I138" s="232">
        <v>3017242.65</v>
      </c>
      <c r="J138" s="232">
        <v>0</v>
      </c>
      <c r="K138" s="232">
        <v>211058.38</v>
      </c>
      <c r="L138" s="232">
        <v>-494320.47</v>
      </c>
      <c r="M138" s="232"/>
      <c r="N138" s="425">
        <f>Paramètres!$K$20/(Données!$H$302+Données!$I$302)*(Données!H138+Données!I138)</f>
        <v>533502.16025082208</v>
      </c>
      <c r="O138" s="232">
        <v>1223910.3999999999</v>
      </c>
      <c r="P138" s="232">
        <v>353136.49</v>
      </c>
      <c r="Q138" s="232">
        <v>219595.25</v>
      </c>
      <c r="R138" s="232">
        <v>-4337.51</v>
      </c>
      <c r="S138" s="232">
        <v>982311.35</v>
      </c>
      <c r="T138" s="232">
        <v>459150.2</v>
      </c>
      <c r="U138" s="232">
        <v>458329.95</v>
      </c>
      <c r="V138" s="232">
        <v>925854.3</v>
      </c>
      <c r="W138" s="233">
        <f t="shared" si="2"/>
        <v>18445611.990250822</v>
      </c>
      <c r="X138" s="232">
        <v>490</v>
      </c>
      <c r="Y138" s="232">
        <v>0</v>
      </c>
      <c r="Z138" s="234">
        <v>2.7E-2</v>
      </c>
      <c r="AA138" s="232">
        <v>286</v>
      </c>
      <c r="AB138" s="232">
        <v>98</v>
      </c>
      <c r="AC138" s="232" t="s">
        <v>566</v>
      </c>
      <c r="AD138" s="232" t="s">
        <v>566</v>
      </c>
      <c r="AE138" s="430">
        <v>0</v>
      </c>
    </row>
    <row r="139" spans="1:31" x14ac:dyDescent="0.25">
      <c r="A139" s="108">
        <v>5637</v>
      </c>
      <c r="B139" s="226" t="s">
        <v>233</v>
      </c>
      <c r="C139" s="368">
        <v>1108</v>
      </c>
      <c r="D139" s="371">
        <v>73</v>
      </c>
      <c r="E139" s="235">
        <v>1.5</v>
      </c>
      <c r="F139" s="231">
        <v>2422996.98</v>
      </c>
      <c r="G139" s="232">
        <v>279819.71999999997</v>
      </c>
      <c r="H139" s="232">
        <v>74892.25</v>
      </c>
      <c r="I139" s="232">
        <v>2542.75</v>
      </c>
      <c r="J139" s="232">
        <v>0</v>
      </c>
      <c r="K139" s="232">
        <v>5037.59</v>
      </c>
      <c r="L139" s="232">
        <v>-110296.99</v>
      </c>
      <c r="M139" s="232"/>
      <c r="N139" s="425">
        <f>Paramètres!$K$20/(Données!$H$302+Données!$I$302)*(Données!H139+Données!I139)</f>
        <v>7362.2997442608394</v>
      </c>
      <c r="O139" s="232">
        <v>316779.75</v>
      </c>
      <c r="P139" s="232">
        <v>81127.78</v>
      </c>
      <c r="Q139" s="232">
        <v>9618.4500000000007</v>
      </c>
      <c r="R139" s="232">
        <v>-1015.81</v>
      </c>
      <c r="S139" s="232">
        <v>101654.85</v>
      </c>
      <c r="T139" s="232">
        <v>2746.3</v>
      </c>
      <c r="U139" s="232">
        <v>-160.44999999999999</v>
      </c>
      <c r="V139" s="232">
        <v>438303.6</v>
      </c>
      <c r="W139" s="233">
        <f t="shared" si="2"/>
        <v>3631409.0697442605</v>
      </c>
      <c r="X139" s="232">
        <v>395</v>
      </c>
      <c r="Y139" s="232">
        <v>0</v>
      </c>
      <c r="Z139" s="234">
        <v>4.7E-2</v>
      </c>
      <c r="AA139" s="232">
        <v>136</v>
      </c>
      <c r="AB139" s="232">
        <v>47</v>
      </c>
      <c r="AC139" s="232" t="s">
        <v>566</v>
      </c>
      <c r="AD139" s="232" t="s">
        <v>566</v>
      </c>
      <c r="AE139" s="430">
        <v>0</v>
      </c>
    </row>
    <row r="140" spans="1:31" x14ac:dyDescent="0.25">
      <c r="A140" s="108">
        <v>5638</v>
      </c>
      <c r="B140" s="226" t="s">
        <v>234</v>
      </c>
      <c r="C140" s="368">
        <v>2719</v>
      </c>
      <c r="D140" s="371">
        <v>55</v>
      </c>
      <c r="E140" s="235">
        <v>1</v>
      </c>
      <c r="F140" s="231">
        <v>6099021.0099999998</v>
      </c>
      <c r="G140" s="232">
        <v>1454276.99</v>
      </c>
      <c r="H140" s="232">
        <v>353684.45</v>
      </c>
      <c r="I140" s="232">
        <v>93407</v>
      </c>
      <c r="J140" s="232">
        <v>105106.25</v>
      </c>
      <c r="K140" s="232">
        <v>84866.89</v>
      </c>
      <c r="L140" s="232">
        <v>-93479.07</v>
      </c>
      <c r="M140" s="232"/>
      <c r="N140" s="425">
        <f>Paramètres!$K$20/(Données!$H$302+Données!$I$302)*(Données!H140+Données!I140)</f>
        <v>42508.184515996742</v>
      </c>
      <c r="O140" s="232">
        <v>747999.2</v>
      </c>
      <c r="P140" s="232">
        <v>151871.84</v>
      </c>
      <c r="Q140" s="232">
        <v>68351.100000000006</v>
      </c>
      <c r="R140" s="232">
        <v>-2820.4</v>
      </c>
      <c r="S140" s="232">
        <v>706892.4</v>
      </c>
      <c r="T140" s="232">
        <v>1171886.5</v>
      </c>
      <c r="U140" s="232">
        <v>1040979.55</v>
      </c>
      <c r="V140" s="232">
        <v>412525.9</v>
      </c>
      <c r="W140" s="233">
        <f t="shared" si="2"/>
        <v>12437077.794515997</v>
      </c>
      <c r="X140" s="232">
        <v>369</v>
      </c>
      <c r="Y140" s="232">
        <v>0</v>
      </c>
      <c r="Z140" s="234">
        <v>0.04</v>
      </c>
      <c r="AA140" s="232">
        <v>247</v>
      </c>
      <c r="AB140" s="232">
        <v>8</v>
      </c>
      <c r="AC140" s="232">
        <v>1128006.0240026347</v>
      </c>
      <c r="AD140" s="232">
        <v>-122771.19595909852</v>
      </c>
      <c r="AE140" s="430">
        <v>0</v>
      </c>
    </row>
    <row r="141" spans="1:31" x14ac:dyDescent="0.25">
      <c r="A141" s="108">
        <v>5639</v>
      </c>
      <c r="B141" s="226" t="s">
        <v>235</v>
      </c>
      <c r="C141" s="368">
        <v>824</v>
      </c>
      <c r="D141" s="371">
        <v>58</v>
      </c>
      <c r="E141" s="235">
        <v>1.25</v>
      </c>
      <c r="F141" s="231">
        <v>2355334.2799999998</v>
      </c>
      <c r="G141" s="232">
        <v>683602.85</v>
      </c>
      <c r="H141" s="232">
        <v>82788.100000000006</v>
      </c>
      <c r="I141" s="232">
        <v>3379.85</v>
      </c>
      <c r="J141" s="232">
        <v>0</v>
      </c>
      <c r="K141" s="232">
        <v>0</v>
      </c>
      <c r="L141" s="232">
        <v>-6908.01</v>
      </c>
      <c r="M141" s="232"/>
      <c r="N141" s="425">
        <f>Paramètres!$K$20/(Données!$H$302+Données!$I$302)*(Données!H141+Données!I141)</f>
        <v>8192.6038128556957</v>
      </c>
      <c r="O141" s="232">
        <v>279676.90000000002</v>
      </c>
      <c r="P141" s="232">
        <v>95276.89</v>
      </c>
      <c r="Q141" s="232">
        <v>3763.85</v>
      </c>
      <c r="R141" s="232">
        <v>-6112.7</v>
      </c>
      <c r="S141" s="232">
        <v>100864.5</v>
      </c>
      <c r="T141" s="232">
        <v>117759.2</v>
      </c>
      <c r="U141" s="232">
        <v>95103.6</v>
      </c>
      <c r="V141" s="232">
        <v>19947.599999999999</v>
      </c>
      <c r="W141" s="233">
        <f t="shared" si="2"/>
        <v>3832669.5138128563</v>
      </c>
      <c r="X141" s="232">
        <v>203</v>
      </c>
      <c r="Y141" s="232">
        <v>0</v>
      </c>
      <c r="Z141" s="234">
        <v>5.3999999999999999E-2</v>
      </c>
      <c r="AA141" s="232">
        <v>109</v>
      </c>
      <c r="AB141" s="232">
        <v>34</v>
      </c>
      <c r="AC141" s="232">
        <v>182999.17474505477</v>
      </c>
      <c r="AD141" s="232">
        <v>-21877.432225781347</v>
      </c>
      <c r="AE141" s="430">
        <v>0</v>
      </c>
    </row>
    <row r="142" spans="1:31" x14ac:dyDescent="0.25">
      <c r="A142" s="108">
        <v>5640</v>
      </c>
      <c r="B142" s="226" t="s">
        <v>236</v>
      </c>
      <c r="C142" s="368">
        <v>721</v>
      </c>
      <c r="D142" s="371">
        <v>61.5</v>
      </c>
      <c r="E142" s="235">
        <v>1</v>
      </c>
      <c r="F142" s="231">
        <v>2989685.12</v>
      </c>
      <c r="G142" s="232">
        <v>636582.63</v>
      </c>
      <c r="H142" s="232">
        <v>69828.800000000003</v>
      </c>
      <c r="I142" s="232">
        <v>4955</v>
      </c>
      <c r="J142" s="232">
        <v>88555.15</v>
      </c>
      <c r="K142" s="232">
        <v>0</v>
      </c>
      <c r="L142" s="232">
        <v>-7784.13</v>
      </c>
      <c r="M142" s="232"/>
      <c r="N142" s="425">
        <f>Paramètres!$K$20/(Données!$H$302+Données!$I$302)*(Données!H142+Données!I142)</f>
        <v>7110.2311824737362</v>
      </c>
      <c r="O142" s="232">
        <v>226384.35</v>
      </c>
      <c r="P142" s="232">
        <v>18849.43</v>
      </c>
      <c r="Q142" s="232">
        <v>10925.25</v>
      </c>
      <c r="R142" s="232">
        <v>-15299.95</v>
      </c>
      <c r="S142" s="232">
        <v>44313.5</v>
      </c>
      <c r="T142" s="232">
        <v>342.7</v>
      </c>
      <c r="U142" s="232">
        <v>51563.3</v>
      </c>
      <c r="V142" s="232">
        <v>20850.45</v>
      </c>
      <c r="W142" s="233">
        <f t="shared" si="2"/>
        <v>4146861.8311824738</v>
      </c>
      <c r="X142" s="232">
        <v>235</v>
      </c>
      <c r="Y142" s="232">
        <v>0</v>
      </c>
      <c r="Z142" s="234">
        <v>3.6999999999999998E-2</v>
      </c>
      <c r="AA142" s="232">
        <v>103</v>
      </c>
      <c r="AB142" s="232">
        <v>86</v>
      </c>
      <c r="AC142" s="232">
        <v>205285.86916955173</v>
      </c>
      <c r="AD142" s="232">
        <v>-25253.256667498761</v>
      </c>
      <c r="AE142" s="430">
        <v>1</v>
      </c>
    </row>
    <row r="143" spans="1:31" x14ac:dyDescent="0.25">
      <c r="A143" s="108">
        <v>5642</v>
      </c>
      <c r="B143" s="226" t="s">
        <v>67</v>
      </c>
      <c r="C143" s="368">
        <v>17813</v>
      </c>
      <c r="D143" s="371">
        <v>67</v>
      </c>
      <c r="E143" s="235">
        <v>1</v>
      </c>
      <c r="F143" s="231">
        <v>39660506.460000001</v>
      </c>
      <c r="G143" s="232">
        <v>6667022.6699999999</v>
      </c>
      <c r="H143" s="232">
        <v>6798421.5499999998</v>
      </c>
      <c r="I143" s="232">
        <v>636404.80000000005</v>
      </c>
      <c r="J143" s="232">
        <v>343019.23</v>
      </c>
      <c r="K143" s="232">
        <v>212045.04</v>
      </c>
      <c r="L143" s="232">
        <v>-495508.68</v>
      </c>
      <c r="M143" s="232"/>
      <c r="N143" s="425">
        <f>Paramètres!$K$20/(Données!$H$302+Données!$I$302)*(Données!H143+Données!I143)</f>
        <v>706882.16097667394</v>
      </c>
      <c r="O143" s="232">
        <v>3972675.15</v>
      </c>
      <c r="P143" s="232">
        <v>2287087.19</v>
      </c>
      <c r="Q143" s="232">
        <v>584768.35</v>
      </c>
      <c r="R143" s="232">
        <v>-78784.44</v>
      </c>
      <c r="S143" s="232">
        <v>2974232.4</v>
      </c>
      <c r="T143" s="232">
        <v>1945918.8</v>
      </c>
      <c r="U143" s="232">
        <v>2244241.5499999998</v>
      </c>
      <c r="V143" s="232">
        <v>2019887.75</v>
      </c>
      <c r="W143" s="233">
        <f t="shared" si="2"/>
        <v>70478819.980976656</v>
      </c>
      <c r="X143" s="232">
        <v>385</v>
      </c>
      <c r="Y143" s="232">
        <v>0</v>
      </c>
      <c r="Z143" s="234">
        <v>5.2999999999999999E-2</v>
      </c>
      <c r="AA143" s="232">
        <v>1668</v>
      </c>
      <c r="AB143" s="232">
        <v>23</v>
      </c>
      <c r="AC143" s="232">
        <v>5192324.4757985147</v>
      </c>
      <c r="AD143" s="232">
        <v>-599795.04757458344</v>
      </c>
      <c r="AE143" s="430">
        <v>1</v>
      </c>
    </row>
    <row r="144" spans="1:31" x14ac:dyDescent="0.25">
      <c r="A144" s="108">
        <v>5643</v>
      </c>
      <c r="B144" s="226" t="s">
        <v>237</v>
      </c>
      <c r="C144" s="368">
        <v>5236</v>
      </c>
      <c r="D144" s="371">
        <v>65</v>
      </c>
      <c r="E144" s="235">
        <v>1</v>
      </c>
      <c r="F144" s="231">
        <v>11924883.689999999</v>
      </c>
      <c r="G144" s="232">
        <v>2403616.87</v>
      </c>
      <c r="H144" s="232">
        <v>2754095</v>
      </c>
      <c r="I144" s="232">
        <v>67790.3</v>
      </c>
      <c r="J144" s="232">
        <v>479796.55</v>
      </c>
      <c r="K144" s="232">
        <v>42104.12</v>
      </c>
      <c r="L144" s="232">
        <v>-279982.82</v>
      </c>
      <c r="M144" s="232"/>
      <c r="N144" s="425">
        <f>Paramètres!$K$20/(Données!$H$302+Données!$I$302)*(Données!H144+Données!I144)</f>
        <v>268296.83505551005</v>
      </c>
      <c r="O144" s="232">
        <v>1220502.6499999999</v>
      </c>
      <c r="P144" s="232">
        <v>290596.19</v>
      </c>
      <c r="Q144" s="232">
        <v>22463.65</v>
      </c>
      <c r="R144" s="232">
        <v>-46195.6</v>
      </c>
      <c r="S144" s="232">
        <v>741618.3</v>
      </c>
      <c r="T144" s="232">
        <v>159498</v>
      </c>
      <c r="U144" s="232">
        <v>456211.5</v>
      </c>
      <c r="V144" s="232">
        <v>253103</v>
      </c>
      <c r="W144" s="233">
        <f t="shared" si="2"/>
        <v>20758398.23505551</v>
      </c>
      <c r="X144" s="232">
        <v>182</v>
      </c>
      <c r="Y144" s="232">
        <v>0</v>
      </c>
      <c r="Z144" s="234">
        <v>3.3000000000000002E-2</v>
      </c>
      <c r="AA144" s="232">
        <v>571</v>
      </c>
      <c r="AB144" s="232">
        <v>21</v>
      </c>
      <c r="AC144" s="232">
        <v>1177582.7305990045</v>
      </c>
      <c r="AD144" s="232">
        <v>-127344.3348509788</v>
      </c>
      <c r="AE144" s="430">
        <v>1</v>
      </c>
    </row>
    <row r="145" spans="1:31" x14ac:dyDescent="0.25">
      <c r="A145" s="108">
        <v>5645</v>
      </c>
      <c r="B145" s="226" t="s">
        <v>238</v>
      </c>
      <c r="C145" s="368">
        <v>462</v>
      </c>
      <c r="D145" s="371">
        <v>56</v>
      </c>
      <c r="E145" s="235">
        <v>1</v>
      </c>
      <c r="F145" s="231">
        <v>991929.88</v>
      </c>
      <c r="G145" s="232">
        <v>223610.23999999999</v>
      </c>
      <c r="H145" s="232">
        <v>38827.800000000003</v>
      </c>
      <c r="I145" s="232">
        <v>27317.1</v>
      </c>
      <c r="J145" s="232">
        <v>0</v>
      </c>
      <c r="K145" s="232">
        <v>0</v>
      </c>
      <c r="L145" s="232">
        <v>-12300.43</v>
      </c>
      <c r="M145" s="232"/>
      <c r="N145" s="425">
        <f>Paramètres!$K$20/(Données!$H$302+Données!$I$302)*(Données!H145+Données!I145)</f>
        <v>6288.8691206064277</v>
      </c>
      <c r="O145" s="232">
        <v>166147.20000000001</v>
      </c>
      <c r="P145" s="232">
        <v>29915.27</v>
      </c>
      <c r="Q145" s="232">
        <v>20865</v>
      </c>
      <c r="R145" s="232">
        <v>-7244.49</v>
      </c>
      <c r="S145" s="232">
        <v>97994.4</v>
      </c>
      <c r="T145" s="232">
        <v>17095.099999999999</v>
      </c>
      <c r="U145" s="232">
        <v>95963.75</v>
      </c>
      <c r="V145" s="232">
        <v>55492.9</v>
      </c>
      <c r="W145" s="233">
        <f t="shared" si="2"/>
        <v>1751902.5891206067</v>
      </c>
      <c r="X145" s="232">
        <v>170</v>
      </c>
      <c r="Y145" s="232">
        <v>0</v>
      </c>
      <c r="Z145" s="234">
        <v>7.9000000000000001E-2</v>
      </c>
      <c r="AA145" s="232">
        <v>39</v>
      </c>
      <c r="AB145" s="232">
        <v>21</v>
      </c>
      <c r="AC145" s="232" t="s">
        <v>566</v>
      </c>
      <c r="AD145" s="232" t="s">
        <v>566</v>
      </c>
      <c r="AE145" s="430">
        <v>0</v>
      </c>
    </row>
    <row r="146" spans="1:31" x14ac:dyDescent="0.25">
      <c r="A146" s="108">
        <v>5646</v>
      </c>
      <c r="B146" s="226" t="s">
        <v>239</v>
      </c>
      <c r="C146" s="368">
        <v>5922</v>
      </c>
      <c r="D146" s="371">
        <v>59</v>
      </c>
      <c r="E146" s="235">
        <v>1.2</v>
      </c>
      <c r="F146" s="231">
        <v>14396208.09</v>
      </c>
      <c r="G146" s="232">
        <v>4009701.34</v>
      </c>
      <c r="H146" s="232">
        <v>5904248.5999999996</v>
      </c>
      <c r="I146" s="232">
        <v>6338923.6500000004</v>
      </c>
      <c r="J146" s="232">
        <v>848683.65</v>
      </c>
      <c r="K146" s="232">
        <v>9107.4599999999991</v>
      </c>
      <c r="L146" s="232">
        <v>-254979.02</v>
      </c>
      <c r="M146" s="232"/>
      <c r="N146" s="425">
        <f>Paramètres!$K$20/(Données!$H$302+Données!$I$302)*(Données!H146+Données!I146)</f>
        <v>1164046.0247319222</v>
      </c>
      <c r="O146" s="232">
        <v>2207267.5</v>
      </c>
      <c r="P146" s="232">
        <v>624688.1</v>
      </c>
      <c r="Q146" s="232">
        <v>86503.15</v>
      </c>
      <c r="R146" s="232">
        <v>-66809.350000000006</v>
      </c>
      <c r="S146" s="232">
        <v>1292845.1499999999</v>
      </c>
      <c r="T146" s="232">
        <f>15719190.8-14720000</f>
        <v>999190.80000000075</v>
      </c>
      <c r="U146" s="232">
        <v>1592092.05</v>
      </c>
      <c r="V146" s="232">
        <v>721457.85</v>
      </c>
      <c r="W146" s="233">
        <f t="shared" si="2"/>
        <v>39873175.044731922</v>
      </c>
      <c r="X146" s="232">
        <v>551</v>
      </c>
      <c r="Y146" s="232">
        <v>0</v>
      </c>
      <c r="Z146" s="234">
        <v>4.3999999999999997E-2</v>
      </c>
      <c r="AA146" s="232">
        <v>658</v>
      </c>
      <c r="AB146" s="232">
        <v>16</v>
      </c>
      <c r="AC146" s="232" t="s">
        <v>566</v>
      </c>
      <c r="AD146" s="232" t="s">
        <v>566</v>
      </c>
      <c r="AE146" s="430">
        <v>1</v>
      </c>
    </row>
    <row r="147" spans="1:31" x14ac:dyDescent="0.25">
      <c r="A147" s="108">
        <v>5648</v>
      </c>
      <c r="B147" s="226" t="s">
        <v>240</v>
      </c>
      <c r="C147" s="368">
        <v>5193</v>
      </c>
      <c r="D147" s="371">
        <v>55</v>
      </c>
      <c r="E147" s="235">
        <v>0.8</v>
      </c>
      <c r="F147" s="231">
        <v>14033496.550000001</v>
      </c>
      <c r="G147" s="232">
        <v>4764215.5199999996</v>
      </c>
      <c r="H147" s="232">
        <v>883480.35</v>
      </c>
      <c r="I147" s="232">
        <v>71259.199999999997</v>
      </c>
      <c r="J147" s="232">
        <v>517631.15</v>
      </c>
      <c r="K147" s="232">
        <v>9369.17</v>
      </c>
      <c r="L147" s="232">
        <v>-76117.08</v>
      </c>
      <c r="M147" s="232"/>
      <c r="N147" s="425">
        <f>Paramètres!$K$20/(Données!$H$302+Données!$I$302)*(Données!H147+Données!I147)</f>
        <v>90773.923223357764</v>
      </c>
      <c r="O147" s="232">
        <v>1512376.81</v>
      </c>
      <c r="P147" s="232">
        <v>321171.03999999998</v>
      </c>
      <c r="Q147" s="232">
        <v>233242.55</v>
      </c>
      <c r="R147" s="232">
        <v>-55396.47</v>
      </c>
      <c r="S147" s="232">
        <v>1934707.8</v>
      </c>
      <c r="T147" s="232">
        <v>32686</v>
      </c>
      <c r="U147" s="232">
        <v>2028251.95</v>
      </c>
      <c r="V147" s="232">
        <v>102476.5</v>
      </c>
      <c r="W147" s="233">
        <f t="shared" si="2"/>
        <v>26403624.96322336</v>
      </c>
      <c r="X147" s="232">
        <v>181</v>
      </c>
      <c r="Y147" s="232">
        <v>0</v>
      </c>
      <c r="Z147" s="234">
        <v>3.6999999999999998E-2</v>
      </c>
      <c r="AA147" s="232">
        <v>467</v>
      </c>
      <c r="AB147" s="232">
        <v>96</v>
      </c>
      <c r="AC147" s="232">
        <v>2453666</v>
      </c>
      <c r="AD147" s="232">
        <v>-196525.77841295622</v>
      </c>
      <c r="AE147" s="430">
        <v>1</v>
      </c>
    </row>
    <row r="148" spans="1:31" x14ac:dyDescent="0.25">
      <c r="A148" s="108">
        <v>5649</v>
      </c>
      <c r="B148" s="226" t="s">
        <v>241</v>
      </c>
      <c r="C148" s="368">
        <v>1928</v>
      </c>
      <c r="D148" s="371">
        <v>64</v>
      </c>
      <c r="E148" s="235">
        <v>1</v>
      </c>
      <c r="F148" s="231">
        <v>4541564.51</v>
      </c>
      <c r="G148" s="232">
        <v>697496.27</v>
      </c>
      <c r="H148" s="232">
        <v>19930524.100000001</v>
      </c>
      <c r="I148" s="232">
        <v>-716470.3</v>
      </c>
      <c r="J148" s="232">
        <v>28981.35</v>
      </c>
      <c r="K148" s="232">
        <v>46680.87</v>
      </c>
      <c r="L148" s="232">
        <v>-47339.199999999997</v>
      </c>
      <c r="M148" s="232"/>
      <c r="N148" s="425">
        <f>Paramètres!$K$20/(Données!$H$302+Données!$I$302)*(Données!H148+Données!I148)</f>
        <v>1826817.6325686576</v>
      </c>
      <c r="O148" s="232">
        <v>636299.15</v>
      </c>
      <c r="P148" s="232">
        <v>294980.7</v>
      </c>
      <c r="Q148" s="232">
        <v>98091.55</v>
      </c>
      <c r="R148" s="232">
        <v>-12104.9</v>
      </c>
      <c r="S148" s="232">
        <v>189750</v>
      </c>
      <c r="T148" s="232">
        <v>31250</v>
      </c>
      <c r="U148" s="232">
        <v>134399.9</v>
      </c>
      <c r="V148" s="232">
        <v>125211.2</v>
      </c>
      <c r="W148" s="233">
        <f t="shared" si="2"/>
        <v>27806132.83256866</v>
      </c>
      <c r="X148" s="232">
        <v>157</v>
      </c>
      <c r="Y148" s="232">
        <v>0</v>
      </c>
      <c r="Z148" s="234">
        <v>5.3999999999999999E-2</v>
      </c>
      <c r="AA148" s="232">
        <v>229</v>
      </c>
      <c r="AB148" s="232">
        <v>74</v>
      </c>
      <c r="AC148" s="232">
        <v>786825.79765053967</v>
      </c>
      <c r="AD148" s="232">
        <v>-92889.218548725708</v>
      </c>
      <c r="AE148" s="430">
        <v>1</v>
      </c>
    </row>
    <row r="149" spans="1:31" x14ac:dyDescent="0.25">
      <c r="A149" s="108">
        <v>5650</v>
      </c>
      <c r="B149" s="226" t="s">
        <v>242</v>
      </c>
      <c r="C149" s="368">
        <v>185</v>
      </c>
      <c r="D149" s="371">
        <v>56</v>
      </c>
      <c r="E149" s="235">
        <v>1.25</v>
      </c>
      <c r="F149" s="231">
        <v>2682485.42</v>
      </c>
      <c r="G149" s="232">
        <v>3633636.9</v>
      </c>
      <c r="H149" s="232">
        <v>7822.6</v>
      </c>
      <c r="I149" s="232">
        <v>654.54999999999995</v>
      </c>
      <c r="J149" s="232">
        <v>0</v>
      </c>
      <c r="K149" s="232">
        <v>0</v>
      </c>
      <c r="L149" s="232">
        <v>-1939.34</v>
      </c>
      <c r="M149" s="232"/>
      <c r="N149" s="425">
        <f>Paramètres!$K$20/(Données!$H$302+Données!$I$302)*(Données!H149+Données!I149)</f>
        <v>805.98333153045485</v>
      </c>
      <c r="O149" s="232">
        <v>58463</v>
      </c>
      <c r="P149" s="232">
        <v>381.91</v>
      </c>
      <c r="Q149" s="232">
        <v>0</v>
      </c>
      <c r="R149" s="232">
        <v>-4738.5</v>
      </c>
      <c r="S149" s="232">
        <v>29.45</v>
      </c>
      <c r="T149" s="232">
        <v>0</v>
      </c>
      <c r="U149" s="232">
        <v>0</v>
      </c>
      <c r="V149" s="232">
        <v>102.05</v>
      </c>
      <c r="W149" s="233">
        <f t="shared" si="2"/>
        <v>6377704.0233315304</v>
      </c>
      <c r="X149" s="232">
        <v>211</v>
      </c>
      <c r="Y149" s="232">
        <v>0</v>
      </c>
      <c r="Z149" s="234">
        <v>4.3999999999999997E-2</v>
      </c>
      <c r="AA149" s="232">
        <v>21</v>
      </c>
      <c r="AB149" s="232">
        <v>11</v>
      </c>
      <c r="AC149" s="232" t="s">
        <v>566</v>
      </c>
      <c r="AD149" s="232" t="s">
        <v>566</v>
      </c>
      <c r="AE149" s="430">
        <v>0</v>
      </c>
    </row>
    <row r="150" spans="1:31" x14ac:dyDescent="0.25">
      <c r="A150" s="108">
        <v>5651</v>
      </c>
      <c r="B150" s="226" t="s">
        <v>243</v>
      </c>
      <c r="C150" s="368">
        <v>943</v>
      </c>
      <c r="D150" s="371">
        <v>60.5</v>
      </c>
      <c r="E150" s="235">
        <v>1</v>
      </c>
      <c r="F150" s="231">
        <v>1985291.23</v>
      </c>
      <c r="G150" s="232">
        <v>344238.32</v>
      </c>
      <c r="H150" s="232">
        <v>590650.85</v>
      </c>
      <c r="I150" s="232">
        <v>8333.4500000000007</v>
      </c>
      <c r="J150" s="232">
        <v>0</v>
      </c>
      <c r="K150" s="232">
        <v>2329.69</v>
      </c>
      <c r="L150" s="232">
        <v>-170100.47</v>
      </c>
      <c r="M150" s="232"/>
      <c r="N150" s="425">
        <f>Paramètres!$K$20/(Données!$H$302+Données!$I$302)*(Données!H150+Données!I150)</f>
        <v>56949.725043020044</v>
      </c>
      <c r="O150" s="232">
        <v>394373.3</v>
      </c>
      <c r="P150" s="232">
        <v>36756.1</v>
      </c>
      <c r="Q150" s="232">
        <v>33474.400000000001</v>
      </c>
      <c r="R150" s="232">
        <v>-6904.3</v>
      </c>
      <c r="S150" s="232">
        <v>204860.4</v>
      </c>
      <c r="T150" s="232">
        <v>0</v>
      </c>
      <c r="U150" s="232">
        <v>191014.15</v>
      </c>
      <c r="V150" s="232">
        <v>218651.9</v>
      </c>
      <c r="W150" s="233">
        <f t="shared" si="2"/>
        <v>3889918.7450430198</v>
      </c>
      <c r="X150" s="232">
        <v>164</v>
      </c>
      <c r="Y150" s="232">
        <v>0</v>
      </c>
      <c r="Z150" s="234">
        <v>6.4000000000000001E-2</v>
      </c>
      <c r="AA150" s="232">
        <v>116</v>
      </c>
      <c r="AB150" s="232">
        <v>57</v>
      </c>
      <c r="AC150" s="232">
        <v>493146</v>
      </c>
      <c r="AD150" s="232">
        <v>-87879.72</v>
      </c>
      <c r="AE150" s="430">
        <v>1</v>
      </c>
    </row>
    <row r="151" spans="1:31" x14ac:dyDescent="0.25">
      <c r="A151" s="108">
        <v>5652</v>
      </c>
      <c r="B151" s="226" t="s">
        <v>244</v>
      </c>
      <c r="C151" s="368">
        <v>603</v>
      </c>
      <c r="D151" s="371">
        <v>74</v>
      </c>
      <c r="E151" s="235">
        <v>1.2</v>
      </c>
      <c r="F151" s="231">
        <v>1390841.16</v>
      </c>
      <c r="G151" s="232">
        <v>230883.55</v>
      </c>
      <c r="H151" s="232">
        <v>17697.349999999999</v>
      </c>
      <c r="I151" s="232">
        <v>3664.9</v>
      </c>
      <c r="J151" s="232">
        <v>0</v>
      </c>
      <c r="K151" s="232">
        <v>177.77</v>
      </c>
      <c r="L151" s="232">
        <v>-16971.79</v>
      </c>
      <c r="M151" s="232"/>
      <c r="N151" s="425">
        <f>Paramètres!$K$20/(Données!$H$302+Données!$I$302)*(Données!H151+Données!I151)</f>
        <v>2031.0620224941706</v>
      </c>
      <c r="O151" s="232">
        <v>148540.29999999999</v>
      </c>
      <c r="P151" s="232">
        <v>19185.349999999999</v>
      </c>
      <c r="Q151" s="232">
        <v>1608.15</v>
      </c>
      <c r="R151" s="232">
        <v>-7539.75</v>
      </c>
      <c r="S151" s="232">
        <v>105443.45</v>
      </c>
      <c r="T151" s="232">
        <v>3189.9</v>
      </c>
      <c r="U151" s="232">
        <v>60834.35</v>
      </c>
      <c r="V151" s="232">
        <v>370.85</v>
      </c>
      <c r="W151" s="233">
        <f t="shared" si="2"/>
        <v>1959956.6020224942</v>
      </c>
      <c r="X151" s="232">
        <v>307</v>
      </c>
      <c r="Y151" s="232">
        <v>0</v>
      </c>
      <c r="Z151" s="234">
        <v>3.9E-2</v>
      </c>
      <c r="AA151" s="232">
        <v>65</v>
      </c>
      <c r="AB151" s="232">
        <v>34</v>
      </c>
      <c r="AC151" s="232" t="s">
        <v>566</v>
      </c>
      <c r="AD151" s="232" t="s">
        <v>566</v>
      </c>
      <c r="AE151" s="430">
        <v>0</v>
      </c>
    </row>
    <row r="152" spans="1:31" x14ac:dyDescent="0.25">
      <c r="A152" s="108">
        <v>5653</v>
      </c>
      <c r="B152" s="226" t="s">
        <v>245</v>
      </c>
      <c r="C152" s="368">
        <v>887</v>
      </c>
      <c r="D152" s="371">
        <v>60.5</v>
      </c>
      <c r="E152" s="235">
        <v>0.8</v>
      </c>
      <c r="F152" s="231">
        <v>3282382.98</v>
      </c>
      <c r="G152" s="232">
        <v>823486.46</v>
      </c>
      <c r="H152" s="232">
        <v>30347.25</v>
      </c>
      <c r="I152" s="232">
        <v>2091.8000000000002</v>
      </c>
      <c r="J152" s="232">
        <v>20719.95</v>
      </c>
      <c r="K152" s="232">
        <v>41.61</v>
      </c>
      <c r="L152" s="232">
        <v>-5149.45</v>
      </c>
      <c r="M152" s="232"/>
      <c r="N152" s="425">
        <f>Paramètres!$K$20/(Données!$H$302+Données!$I$302)*(Données!H152+Données!I152)</f>
        <v>3084.2126883071551</v>
      </c>
      <c r="O152" s="232">
        <v>221719.9</v>
      </c>
      <c r="P152" s="232">
        <v>19247.77</v>
      </c>
      <c r="Q152" s="232">
        <v>1714.4</v>
      </c>
      <c r="R152" s="232">
        <v>-24318.9</v>
      </c>
      <c r="S152" s="232">
        <f>266409.8-165000</f>
        <v>101409.79999999999</v>
      </c>
      <c r="T152" s="232">
        <f>1560000.4-1560000</f>
        <v>0.39999999990686774</v>
      </c>
      <c r="U152" s="232">
        <f>427325.55-170000</f>
        <v>257325.55</v>
      </c>
      <c r="V152" s="232">
        <v>2148.3000000000002</v>
      </c>
      <c r="W152" s="233">
        <f t="shared" si="2"/>
        <v>4736252.0326883066</v>
      </c>
      <c r="X152" s="232">
        <v>215</v>
      </c>
      <c r="Y152" s="232">
        <v>0</v>
      </c>
      <c r="Z152" s="234">
        <v>7.8E-2</v>
      </c>
      <c r="AA152" s="232">
        <v>96</v>
      </c>
      <c r="AB152" s="232">
        <v>53</v>
      </c>
      <c r="AC152" s="232" t="s">
        <v>566</v>
      </c>
      <c r="AD152" s="232" t="s">
        <v>566</v>
      </c>
      <c r="AE152" s="430">
        <v>0</v>
      </c>
    </row>
    <row r="153" spans="1:31" x14ac:dyDescent="0.25">
      <c r="A153" s="108">
        <v>5654</v>
      </c>
      <c r="B153" s="226" t="s">
        <v>246</v>
      </c>
      <c r="C153" s="368">
        <v>577</v>
      </c>
      <c r="D153" s="371">
        <v>76</v>
      </c>
      <c r="E153" s="235">
        <v>1</v>
      </c>
      <c r="F153" s="231">
        <v>1361208.86</v>
      </c>
      <c r="G153" s="232">
        <v>311530.74</v>
      </c>
      <c r="H153" s="232">
        <v>52124.2</v>
      </c>
      <c r="I153" s="232">
        <v>904.8</v>
      </c>
      <c r="J153" s="232">
        <v>0</v>
      </c>
      <c r="K153" s="232">
        <v>86.39</v>
      </c>
      <c r="L153" s="232">
        <v>-10733.05</v>
      </c>
      <c r="M153" s="232"/>
      <c r="N153" s="425">
        <f>Paramètres!$K$20/(Données!$H$302+Données!$I$302)*(Données!H153+Données!I153)</f>
        <v>5041.8466215330027</v>
      </c>
      <c r="O153" s="232">
        <v>121668.75</v>
      </c>
      <c r="P153" s="232">
        <v>60690.53</v>
      </c>
      <c r="Q153" s="232">
        <v>1902.5</v>
      </c>
      <c r="R153" s="232">
        <v>-974.5</v>
      </c>
      <c r="S153" s="232">
        <v>97484.45</v>
      </c>
      <c r="T153" s="232">
        <v>0</v>
      </c>
      <c r="U153" s="232">
        <v>48468.35</v>
      </c>
      <c r="V153" s="232">
        <v>5449.1</v>
      </c>
      <c r="W153" s="233">
        <f t="shared" si="2"/>
        <v>2054852.966621533</v>
      </c>
      <c r="X153" s="232">
        <v>681</v>
      </c>
      <c r="Y153" s="232">
        <v>0</v>
      </c>
      <c r="Z153" s="234">
        <v>1.6E-2</v>
      </c>
      <c r="AA153" s="232">
        <v>74</v>
      </c>
      <c r="AB153" s="232">
        <v>74</v>
      </c>
      <c r="AC153" s="232" t="s">
        <v>566</v>
      </c>
      <c r="AD153" s="232" t="s">
        <v>566</v>
      </c>
      <c r="AE153" s="430">
        <v>0</v>
      </c>
    </row>
    <row r="154" spans="1:31" x14ac:dyDescent="0.25">
      <c r="A154" s="108">
        <v>5655</v>
      </c>
      <c r="B154" s="226" t="s">
        <v>247</v>
      </c>
      <c r="C154" s="368">
        <v>1481</v>
      </c>
      <c r="D154" s="371">
        <v>70</v>
      </c>
      <c r="E154" s="235">
        <v>1</v>
      </c>
      <c r="F154" s="231">
        <v>5441520.1900000004</v>
      </c>
      <c r="G154" s="232">
        <v>973410.59</v>
      </c>
      <c r="H154" s="232">
        <v>73659.5</v>
      </c>
      <c r="I154" s="232">
        <v>3188.95</v>
      </c>
      <c r="J154" s="232">
        <v>213333.25</v>
      </c>
      <c r="K154" s="232">
        <v>11472.35</v>
      </c>
      <c r="L154" s="232">
        <v>-31589.99</v>
      </c>
      <c r="M154" s="232"/>
      <c r="N154" s="425">
        <f>Paramètres!$K$20/(Données!$H$302+Données!$I$302)*(Données!H154+Données!I154)</f>
        <v>7306.5322371258717</v>
      </c>
      <c r="O154" s="232">
        <v>460751.8</v>
      </c>
      <c r="P154" s="232">
        <v>108124.78</v>
      </c>
      <c r="Q154" s="232">
        <v>4589.2</v>
      </c>
      <c r="R154" s="232">
        <v>-22781.8</v>
      </c>
      <c r="S154" s="232">
        <v>288510.84999999998</v>
      </c>
      <c r="T154" s="232">
        <f>907642.7-700000</f>
        <v>207642.69999999995</v>
      </c>
      <c r="U154" s="232">
        <v>143372.65</v>
      </c>
      <c r="V154" s="232">
        <v>75428.600000000006</v>
      </c>
      <c r="W154" s="233">
        <f t="shared" si="2"/>
        <v>7957940.1522371257</v>
      </c>
      <c r="X154" s="232">
        <v>951</v>
      </c>
      <c r="Y154" s="232">
        <v>0</v>
      </c>
      <c r="Z154" s="234">
        <v>4.2999999999999997E-2</v>
      </c>
      <c r="AA154" s="232">
        <v>179</v>
      </c>
      <c r="AB154" s="232">
        <v>52</v>
      </c>
      <c r="AC154" s="232" t="s">
        <v>566</v>
      </c>
      <c r="AD154" s="232" t="s">
        <v>566</v>
      </c>
      <c r="AE154" s="430">
        <v>0</v>
      </c>
    </row>
    <row r="155" spans="1:31" x14ac:dyDescent="0.25">
      <c r="A155" s="108">
        <v>5656</v>
      </c>
      <c r="B155" s="226" t="s">
        <v>248</v>
      </c>
      <c r="C155" s="368">
        <v>4426</v>
      </c>
      <c r="D155" s="371">
        <v>68</v>
      </c>
      <c r="E155" s="235">
        <v>1</v>
      </c>
      <c r="F155" s="231">
        <v>9127717.8900000006</v>
      </c>
      <c r="G155" s="232">
        <v>1493316.48</v>
      </c>
      <c r="H155" s="232">
        <v>253285.9</v>
      </c>
      <c r="I155" s="232">
        <v>6569.85</v>
      </c>
      <c r="J155" s="232">
        <v>183682.61</v>
      </c>
      <c r="K155" s="232">
        <v>25176.89</v>
      </c>
      <c r="L155" s="232">
        <v>-97753.01</v>
      </c>
      <c r="M155" s="232"/>
      <c r="N155" s="425">
        <f>Paramètres!$K$20/(Données!$H$302+Données!$I$302)*(Données!H155+Données!I155)</f>
        <v>24706.346248720973</v>
      </c>
      <c r="O155" s="232">
        <v>964115.1</v>
      </c>
      <c r="P155" s="232">
        <v>220978.43</v>
      </c>
      <c r="Q155" s="232">
        <v>35682</v>
      </c>
      <c r="R155" s="232">
        <v>-5098.55</v>
      </c>
      <c r="S155" s="232">
        <v>705231.9</v>
      </c>
      <c r="T155" s="232">
        <v>131257.4</v>
      </c>
      <c r="U155" s="232">
        <v>504106.15</v>
      </c>
      <c r="V155" s="232">
        <v>108019.3</v>
      </c>
      <c r="W155" s="233">
        <f t="shared" si="2"/>
        <v>13680994.686248723</v>
      </c>
      <c r="X155" s="232">
        <v>3297</v>
      </c>
      <c r="Y155" s="232">
        <v>0</v>
      </c>
      <c r="Z155" s="234">
        <v>1.7000000000000001E-2</v>
      </c>
      <c r="AA155" s="232">
        <v>568</v>
      </c>
      <c r="AB155" s="232">
        <v>221</v>
      </c>
      <c r="AC155" s="232" t="s">
        <v>566</v>
      </c>
      <c r="AD155" s="232" t="s">
        <v>566</v>
      </c>
      <c r="AE155" s="430">
        <v>0</v>
      </c>
    </row>
    <row r="156" spans="1:31" x14ac:dyDescent="0.25">
      <c r="A156" s="108">
        <v>5661</v>
      </c>
      <c r="B156" s="226" t="s">
        <v>249</v>
      </c>
      <c r="C156" s="368">
        <v>371</v>
      </c>
      <c r="D156" s="371">
        <v>71.5</v>
      </c>
      <c r="E156" s="235">
        <v>1</v>
      </c>
      <c r="F156" s="231">
        <v>733741.66</v>
      </c>
      <c r="G156" s="232">
        <v>68292.84</v>
      </c>
      <c r="H156" s="232">
        <v>2713.8</v>
      </c>
      <c r="I156" s="232">
        <v>989.7</v>
      </c>
      <c r="J156" s="232">
        <v>0</v>
      </c>
      <c r="K156" s="232">
        <v>0</v>
      </c>
      <c r="L156" s="232">
        <v>-2916.7</v>
      </c>
      <c r="M156" s="232"/>
      <c r="N156" s="425">
        <f>Paramètres!$K$20/(Données!$H$302+Données!$I$302)*(Données!H156+Données!I156)</f>
        <v>352.11825534796947</v>
      </c>
      <c r="O156" s="232">
        <v>65574.399999999994</v>
      </c>
      <c r="P156" s="232">
        <v>9437.2900000000009</v>
      </c>
      <c r="Q156" s="232">
        <v>490</v>
      </c>
      <c r="R156" s="232">
        <v>-62.6</v>
      </c>
      <c r="S156" s="232">
        <v>31971.5</v>
      </c>
      <c r="T156" s="232">
        <v>0</v>
      </c>
      <c r="U156" s="232">
        <v>85152.1</v>
      </c>
      <c r="V156" s="232">
        <v>8774.75</v>
      </c>
      <c r="W156" s="233">
        <f t="shared" si="2"/>
        <v>1004510.8582553481</v>
      </c>
      <c r="X156" s="232">
        <v>341</v>
      </c>
      <c r="Y156" s="232">
        <v>0</v>
      </c>
      <c r="Z156" s="234">
        <v>0.20799999999999999</v>
      </c>
      <c r="AA156" s="232">
        <v>53</v>
      </c>
      <c r="AB156" s="232">
        <v>50</v>
      </c>
      <c r="AC156" s="232" t="s">
        <v>566</v>
      </c>
      <c r="AD156" s="232" t="s">
        <v>566</v>
      </c>
      <c r="AE156" s="430">
        <v>0</v>
      </c>
    </row>
    <row r="157" spans="1:31" x14ac:dyDescent="0.25">
      <c r="A157" s="108">
        <v>5663</v>
      </c>
      <c r="B157" s="226" t="s">
        <v>250</v>
      </c>
      <c r="C157" s="368">
        <v>267</v>
      </c>
      <c r="D157" s="371">
        <v>78.5</v>
      </c>
      <c r="E157" s="235">
        <v>1</v>
      </c>
      <c r="F157" s="231">
        <v>451506.6</v>
      </c>
      <c r="G157" s="232">
        <v>45456.49</v>
      </c>
      <c r="H157" s="232">
        <v>2864</v>
      </c>
      <c r="I157" s="232">
        <v>1985.05</v>
      </c>
      <c r="J157" s="232">
        <v>0</v>
      </c>
      <c r="K157" s="232">
        <v>0</v>
      </c>
      <c r="L157" s="232">
        <v>-6449.05</v>
      </c>
      <c r="M157" s="232"/>
      <c r="N157" s="425">
        <f>Paramètres!$K$20/(Données!$H$302+Données!$I$302)*(Données!H157+Données!I157)</f>
        <v>461.03389390983438</v>
      </c>
      <c r="O157" s="232">
        <v>41715.15</v>
      </c>
      <c r="P157" s="232">
        <v>6404.25</v>
      </c>
      <c r="Q157" s="232">
        <v>477.7</v>
      </c>
      <c r="R157" s="232">
        <v>-38.200000000000003</v>
      </c>
      <c r="S157" s="232">
        <v>24530</v>
      </c>
      <c r="T157" s="232">
        <v>0</v>
      </c>
      <c r="U157" s="232">
        <v>8759.7999999999993</v>
      </c>
      <c r="V157" s="232">
        <v>0</v>
      </c>
      <c r="W157" s="233">
        <f t="shared" si="2"/>
        <v>577672.82389390981</v>
      </c>
      <c r="X157" s="232">
        <v>313</v>
      </c>
      <c r="Y157" s="232">
        <v>0</v>
      </c>
      <c r="Z157" s="234">
        <v>8.5000000000000006E-2</v>
      </c>
      <c r="AA157" s="232">
        <v>30</v>
      </c>
      <c r="AB157" s="232">
        <v>24</v>
      </c>
      <c r="AC157" s="232" t="s">
        <v>566</v>
      </c>
      <c r="AD157" s="232" t="s">
        <v>566</v>
      </c>
      <c r="AE157" s="430">
        <v>0</v>
      </c>
    </row>
    <row r="158" spans="1:31" x14ac:dyDescent="0.25">
      <c r="A158" s="108">
        <v>5665</v>
      </c>
      <c r="B158" s="226" t="s">
        <v>251</v>
      </c>
      <c r="C158" s="368">
        <v>232</v>
      </c>
      <c r="D158" s="371">
        <v>70</v>
      </c>
      <c r="E158" s="235">
        <v>1</v>
      </c>
      <c r="F158" s="231">
        <v>338054.51</v>
      </c>
      <c r="G158" s="232">
        <v>64132.33</v>
      </c>
      <c r="H158" s="232">
        <v>2283.4499999999998</v>
      </c>
      <c r="I158" s="232">
        <v>954.25</v>
      </c>
      <c r="J158" s="232">
        <v>0</v>
      </c>
      <c r="K158" s="232">
        <v>0</v>
      </c>
      <c r="L158" s="232">
        <v>-6965.42</v>
      </c>
      <c r="M158" s="232"/>
      <c r="N158" s="425">
        <f>Paramètres!$K$20/(Données!$H$302+Données!$I$302)*(Données!H158+Données!I158)</f>
        <v>307.83131506416112</v>
      </c>
      <c r="O158" s="232">
        <v>32930.800000000003</v>
      </c>
      <c r="P158" s="232">
        <v>8426.7800000000007</v>
      </c>
      <c r="Q158" s="232">
        <v>896.5</v>
      </c>
      <c r="R158" s="232">
        <v>0</v>
      </c>
      <c r="S158" s="232">
        <v>10179.75</v>
      </c>
      <c r="T158" s="232">
        <v>0</v>
      </c>
      <c r="U158" s="232">
        <v>16457.900000000001</v>
      </c>
      <c r="V158" s="232">
        <v>0</v>
      </c>
      <c r="W158" s="233">
        <f t="shared" si="2"/>
        <v>467658.68131506426</v>
      </c>
      <c r="X158" s="232">
        <v>513</v>
      </c>
      <c r="Y158" s="232">
        <v>18</v>
      </c>
      <c r="Z158" s="234">
        <v>8.1000000000000003E-2</v>
      </c>
      <c r="AA158" s="232">
        <v>20</v>
      </c>
      <c r="AB158" s="232">
        <v>20</v>
      </c>
      <c r="AC158" s="232" t="s">
        <v>566</v>
      </c>
      <c r="AD158" s="232" t="s">
        <v>566</v>
      </c>
      <c r="AE158" s="430">
        <v>0</v>
      </c>
    </row>
    <row r="159" spans="1:31" x14ac:dyDescent="0.25">
      <c r="A159" s="108">
        <v>5671</v>
      </c>
      <c r="B159" s="226" t="s">
        <v>253</v>
      </c>
      <c r="C159" s="368">
        <v>242</v>
      </c>
      <c r="D159" s="371">
        <v>78</v>
      </c>
      <c r="E159" s="235">
        <v>1</v>
      </c>
      <c r="F159" s="231">
        <v>314457.8</v>
      </c>
      <c r="G159" s="232">
        <v>50819.91</v>
      </c>
      <c r="H159" s="232">
        <v>-4709</v>
      </c>
      <c r="I159" s="232">
        <v>4358.1000000000004</v>
      </c>
      <c r="J159" s="232">
        <v>0</v>
      </c>
      <c r="K159" s="232">
        <v>0</v>
      </c>
      <c r="L159" s="232">
        <v>-5140.59</v>
      </c>
      <c r="M159" s="232"/>
      <c r="N159" s="425">
        <f>Paramètres!$K$20/(Données!$H$302+Données!$I$302)*(Données!H159+Données!I159)</f>
        <v>-33.362574808047079</v>
      </c>
      <c r="O159" s="232">
        <v>38199.5</v>
      </c>
      <c r="P159" s="232">
        <v>8088.43</v>
      </c>
      <c r="Q159" s="232">
        <v>267</v>
      </c>
      <c r="R159" s="232">
        <v>-59.6</v>
      </c>
      <c r="S159" s="232">
        <v>14575</v>
      </c>
      <c r="T159" s="232">
        <v>56719.3</v>
      </c>
      <c r="U159" s="232">
        <v>17376.599999999999</v>
      </c>
      <c r="V159" s="232">
        <v>0</v>
      </c>
      <c r="W159" s="233">
        <f t="shared" si="2"/>
        <v>494919.08742519183</v>
      </c>
      <c r="X159" s="232">
        <v>325</v>
      </c>
      <c r="Y159" s="232">
        <v>2</v>
      </c>
      <c r="Z159" s="234">
        <v>5.8000000000000003E-2</v>
      </c>
      <c r="AA159" s="232">
        <v>33</v>
      </c>
      <c r="AB159" s="232">
        <v>33</v>
      </c>
      <c r="AC159" s="232" t="s">
        <v>566</v>
      </c>
      <c r="AD159" s="232" t="s">
        <v>566</v>
      </c>
      <c r="AE159" s="430">
        <v>0</v>
      </c>
    </row>
    <row r="160" spans="1:31" x14ac:dyDescent="0.25">
      <c r="A160" s="108">
        <v>5673</v>
      </c>
      <c r="B160" s="226" t="s">
        <v>254</v>
      </c>
      <c r="C160" s="368">
        <v>364</v>
      </c>
      <c r="D160" s="371">
        <v>73.5</v>
      </c>
      <c r="E160" s="235">
        <v>0.6</v>
      </c>
      <c r="F160" s="231">
        <v>566580</v>
      </c>
      <c r="G160" s="232">
        <v>80224.509999999995</v>
      </c>
      <c r="H160" s="232">
        <v>2430.9499999999998</v>
      </c>
      <c r="I160" s="232">
        <v>1099.2</v>
      </c>
      <c r="J160" s="232">
        <v>0</v>
      </c>
      <c r="K160" s="232">
        <v>404.55</v>
      </c>
      <c r="L160" s="232">
        <v>-5434.24</v>
      </c>
      <c r="M160" s="232"/>
      <c r="N160" s="425">
        <f>Paramètres!$K$20/(Données!$H$302+Données!$I$302)*(Données!H160+Données!I160)</f>
        <v>335.63662997613994</v>
      </c>
      <c r="O160" s="232">
        <v>30509.1</v>
      </c>
      <c r="P160" s="232">
        <v>6241.5</v>
      </c>
      <c r="Q160" s="232">
        <v>408</v>
      </c>
      <c r="R160" s="232">
        <v>0</v>
      </c>
      <c r="S160" s="232">
        <v>4914.2</v>
      </c>
      <c r="T160" s="232">
        <v>2.8</v>
      </c>
      <c r="U160" s="232">
        <v>7632.1</v>
      </c>
      <c r="V160" s="232">
        <v>14756.15</v>
      </c>
      <c r="W160" s="233">
        <f t="shared" si="2"/>
        <v>710104.45662997605</v>
      </c>
      <c r="X160" s="232">
        <v>478</v>
      </c>
      <c r="Y160" s="232">
        <v>52</v>
      </c>
      <c r="Z160" s="234">
        <v>0.156</v>
      </c>
      <c r="AA160" s="232">
        <v>33</v>
      </c>
      <c r="AB160" s="232">
        <v>33</v>
      </c>
      <c r="AC160" s="232" t="s">
        <v>566</v>
      </c>
      <c r="AD160" s="232" t="s">
        <v>566</v>
      </c>
      <c r="AE160" s="430">
        <v>0</v>
      </c>
    </row>
    <row r="161" spans="1:31" x14ac:dyDescent="0.25">
      <c r="A161" s="108">
        <v>5674</v>
      </c>
      <c r="B161" s="226" t="s">
        <v>255</v>
      </c>
      <c r="C161" s="368">
        <v>152</v>
      </c>
      <c r="D161" s="371">
        <v>75</v>
      </c>
      <c r="E161" s="235">
        <v>0.7</v>
      </c>
      <c r="F161" s="231">
        <v>327208.71000000002</v>
      </c>
      <c r="G161" s="232">
        <v>41375.26</v>
      </c>
      <c r="H161" s="232">
        <v>3079.1</v>
      </c>
      <c r="I161" s="232">
        <v>1005</v>
      </c>
      <c r="J161" s="232">
        <v>0</v>
      </c>
      <c r="K161" s="232">
        <v>1761.67</v>
      </c>
      <c r="L161" s="232">
        <v>-4394.32</v>
      </c>
      <c r="M161" s="232"/>
      <c r="N161" s="425">
        <f>Paramètres!$K$20/(Données!$H$302+Données!$I$302)*(Données!H161+Données!I161)</f>
        <v>388.30462175418984</v>
      </c>
      <c r="O161" s="232">
        <v>16108.95</v>
      </c>
      <c r="P161" s="232">
        <v>161.11000000000001</v>
      </c>
      <c r="Q161" s="232">
        <v>64.099999999999994</v>
      </c>
      <c r="R161" s="232">
        <v>-402.65</v>
      </c>
      <c r="S161" s="232">
        <v>3888.5</v>
      </c>
      <c r="T161" s="232">
        <v>0</v>
      </c>
      <c r="U161" s="232">
        <v>11175.25</v>
      </c>
      <c r="V161" s="232">
        <v>0</v>
      </c>
      <c r="W161" s="233">
        <f t="shared" si="2"/>
        <v>401418.98462175415</v>
      </c>
      <c r="X161" s="232">
        <v>347</v>
      </c>
      <c r="Y161" s="232">
        <v>11</v>
      </c>
      <c r="Z161" s="234">
        <v>8.8999999999999996E-2</v>
      </c>
      <c r="AA161" s="232">
        <v>18</v>
      </c>
      <c r="AB161" s="232">
        <v>18</v>
      </c>
      <c r="AC161" s="232" t="s">
        <v>566</v>
      </c>
      <c r="AD161" s="232" t="s">
        <v>566</v>
      </c>
      <c r="AE161" s="430">
        <v>0</v>
      </c>
    </row>
    <row r="162" spans="1:31" x14ac:dyDescent="0.25">
      <c r="A162" s="108">
        <v>5675</v>
      </c>
      <c r="B162" s="226" t="s">
        <v>256</v>
      </c>
      <c r="C162" s="368">
        <v>5194</v>
      </c>
      <c r="D162" s="371">
        <v>69.5</v>
      </c>
      <c r="E162" s="235">
        <v>1.1000000000000001</v>
      </c>
      <c r="F162" s="231">
        <v>5520223.0091780825</v>
      </c>
      <c r="G162" s="231">
        <v>732846.16431506851</v>
      </c>
      <c r="H162" s="231">
        <v>14098.595890410948</v>
      </c>
      <c r="I162" s="231">
        <v>78159.144520547939</v>
      </c>
      <c r="J162" s="231">
        <v>0</v>
      </c>
      <c r="K162" s="231">
        <v>36411.879999999997</v>
      </c>
      <c r="L162" s="231">
        <v>-203113.29198630137</v>
      </c>
      <c r="M162" s="231"/>
      <c r="N162" s="425">
        <f>Paramètres!$K$20/(Données!$H$302+Données!$I$302)*(Données!H162+Données!I162)</f>
        <v>8771.60377908808</v>
      </c>
      <c r="O162" s="232">
        <v>870391.41</v>
      </c>
      <c r="P162" s="232">
        <v>350121.28</v>
      </c>
      <c r="Q162" s="232">
        <v>-29439.35</v>
      </c>
      <c r="R162" s="232">
        <v>-2447.85</v>
      </c>
      <c r="S162" s="232">
        <v>791490.3</v>
      </c>
      <c r="T162" s="232">
        <v>75526.7</v>
      </c>
      <c r="U162" s="232">
        <v>237849.85</v>
      </c>
      <c r="V162" s="232">
        <v>14333.9</v>
      </c>
      <c r="W162" s="233">
        <f t="shared" si="2"/>
        <v>8495223.3456968982</v>
      </c>
      <c r="X162" s="232">
        <v>2401</v>
      </c>
      <c r="Y162" s="232">
        <v>149</v>
      </c>
      <c r="Z162" s="234">
        <v>0.13600000000000001</v>
      </c>
      <c r="AA162" s="232">
        <v>718</v>
      </c>
      <c r="AB162" s="232">
        <v>261</v>
      </c>
      <c r="AC162" s="232" t="s">
        <v>566</v>
      </c>
      <c r="AD162" s="232" t="s">
        <v>566</v>
      </c>
      <c r="AE162" s="430">
        <v>0</v>
      </c>
    </row>
    <row r="163" spans="1:31" x14ac:dyDescent="0.25">
      <c r="A163" s="108">
        <v>5678</v>
      </c>
      <c r="B163" s="226" t="s">
        <v>257</v>
      </c>
      <c r="C163" s="368">
        <v>6847</v>
      </c>
      <c r="D163" s="371">
        <v>72.5</v>
      </c>
      <c r="E163" s="235">
        <v>1</v>
      </c>
      <c r="F163" s="231">
        <v>7430420.7599999998</v>
      </c>
      <c r="G163" s="232">
        <v>774839.17</v>
      </c>
      <c r="H163" s="232">
        <v>643088.85</v>
      </c>
      <c r="I163" s="232">
        <v>22909.200000000001</v>
      </c>
      <c r="J163" s="232">
        <v>0</v>
      </c>
      <c r="K163" s="232">
        <v>46440.68</v>
      </c>
      <c r="L163" s="232">
        <v>-313081.40999999997</v>
      </c>
      <c r="M163" s="232"/>
      <c r="N163" s="425">
        <f>Paramètres!$K$20/(Données!$H$302+Données!$I$302)*(Données!H163+Données!I163)</f>
        <v>63321.201952517818</v>
      </c>
      <c r="O163" s="232">
        <v>994719.8</v>
      </c>
      <c r="P163" s="232">
        <v>594586.59</v>
      </c>
      <c r="Q163" s="232">
        <v>91510.75</v>
      </c>
      <c r="R163" s="232">
        <v>-3571.99</v>
      </c>
      <c r="S163" s="232">
        <v>599288.69999999995</v>
      </c>
      <c r="T163" s="232">
        <v>312890.2</v>
      </c>
      <c r="U163" s="232">
        <v>357458.55</v>
      </c>
      <c r="V163" s="232">
        <v>238397.75</v>
      </c>
      <c r="W163" s="233">
        <f t="shared" si="2"/>
        <v>11853218.801952515</v>
      </c>
      <c r="X163" s="232">
        <v>1539</v>
      </c>
      <c r="Y163" s="232">
        <v>28</v>
      </c>
      <c r="Z163" s="234">
        <v>0.25600000000000001</v>
      </c>
      <c r="AA163" s="232">
        <v>1028</v>
      </c>
      <c r="AB163" s="232">
        <v>45</v>
      </c>
      <c r="AC163" s="232" t="s">
        <v>566</v>
      </c>
      <c r="AD163" s="232" t="s">
        <v>566</v>
      </c>
      <c r="AE163" s="430">
        <v>0</v>
      </c>
    </row>
    <row r="164" spans="1:31" x14ac:dyDescent="0.25">
      <c r="A164" s="108">
        <v>5680</v>
      </c>
      <c r="B164" s="226" t="s">
        <v>258</v>
      </c>
      <c r="C164" s="368">
        <v>342</v>
      </c>
      <c r="D164" s="371">
        <v>78</v>
      </c>
      <c r="E164" s="235">
        <v>1.5</v>
      </c>
      <c r="F164" s="231">
        <v>761265.86</v>
      </c>
      <c r="G164" s="232">
        <v>79227.649999999994</v>
      </c>
      <c r="H164" s="232">
        <v>-62609.55</v>
      </c>
      <c r="I164" s="232">
        <v>5121.55</v>
      </c>
      <c r="J164" s="232">
        <v>0</v>
      </c>
      <c r="K164" s="232">
        <v>8.61</v>
      </c>
      <c r="L164" s="232">
        <v>-4257.97</v>
      </c>
      <c r="M164" s="232"/>
      <c r="N164" s="425">
        <f>Paramètres!$K$20/(Données!$H$302+Données!$I$302)*(Données!H164+Données!I164)</f>
        <v>-5465.7956698917433</v>
      </c>
      <c r="O164" s="232">
        <v>94872.75</v>
      </c>
      <c r="P164" s="232">
        <v>-5213.5600000000004</v>
      </c>
      <c r="Q164" s="232">
        <v>4302.95</v>
      </c>
      <c r="R164" s="232">
        <v>0</v>
      </c>
      <c r="S164" s="232">
        <v>40458</v>
      </c>
      <c r="T164" s="232">
        <v>388.6</v>
      </c>
      <c r="U164" s="232">
        <v>43980.65</v>
      </c>
      <c r="V164" s="232">
        <v>0</v>
      </c>
      <c r="W164" s="233">
        <f t="shared" si="2"/>
        <v>952079.74433010817</v>
      </c>
      <c r="X164" s="232">
        <v>337</v>
      </c>
      <c r="Y164" s="232">
        <v>0</v>
      </c>
      <c r="Z164" s="234">
        <v>0.16900000000000001</v>
      </c>
      <c r="AA164" s="232">
        <v>55</v>
      </c>
      <c r="AB164" s="232">
        <v>53</v>
      </c>
      <c r="AC164" s="232" t="s">
        <v>566</v>
      </c>
      <c r="AD164" s="232" t="s">
        <v>566</v>
      </c>
      <c r="AE164" s="430">
        <v>0</v>
      </c>
    </row>
    <row r="165" spans="1:31" x14ac:dyDescent="0.25">
      <c r="A165" s="108">
        <v>5683</v>
      </c>
      <c r="B165" s="226" t="s">
        <v>259</v>
      </c>
      <c r="C165" s="368">
        <v>249</v>
      </c>
      <c r="D165" s="371">
        <v>72.5</v>
      </c>
      <c r="E165" s="235">
        <v>1</v>
      </c>
      <c r="F165" s="231">
        <v>347658.69</v>
      </c>
      <c r="G165" s="232">
        <v>22441.15</v>
      </c>
      <c r="H165" s="232">
        <v>3572.45</v>
      </c>
      <c r="I165" s="232">
        <v>1267.5999999999999</v>
      </c>
      <c r="J165" s="232">
        <v>0</v>
      </c>
      <c r="K165" s="232">
        <v>1457.59</v>
      </c>
      <c r="L165" s="232">
        <v>-15763.54</v>
      </c>
      <c r="M165" s="232"/>
      <c r="N165" s="425">
        <f>Paramètres!$K$20/(Données!$H$302+Données!$I$302)*(Données!H165+Données!I165)</f>
        <v>460.17819948614539</v>
      </c>
      <c r="O165" s="232">
        <v>34409.65</v>
      </c>
      <c r="P165" s="232">
        <v>1424.35</v>
      </c>
      <c r="Q165" s="232">
        <v>2171.85</v>
      </c>
      <c r="R165" s="232">
        <v>-273.64999999999998</v>
      </c>
      <c r="S165" s="232">
        <v>39047.85</v>
      </c>
      <c r="T165" s="232">
        <v>0</v>
      </c>
      <c r="U165" s="232">
        <v>24291.599999999999</v>
      </c>
      <c r="V165" s="232">
        <v>0</v>
      </c>
      <c r="W165" s="233">
        <f t="shared" si="2"/>
        <v>462165.76819948613</v>
      </c>
      <c r="X165" s="232">
        <v>181</v>
      </c>
      <c r="Y165" s="232">
        <v>249</v>
      </c>
      <c r="Z165" s="234">
        <v>5.0000000000000001E-3</v>
      </c>
      <c r="AA165" s="232">
        <v>35</v>
      </c>
      <c r="AB165" s="232">
        <v>35</v>
      </c>
      <c r="AC165" s="232" t="s">
        <v>566</v>
      </c>
      <c r="AD165" s="232" t="s">
        <v>566</v>
      </c>
      <c r="AE165" s="430">
        <v>0</v>
      </c>
    </row>
    <row r="166" spans="1:31" x14ac:dyDescent="0.25">
      <c r="A166" s="108">
        <v>5684</v>
      </c>
      <c r="B166" s="226" t="s">
        <v>260</v>
      </c>
      <c r="C166" s="368">
        <v>82</v>
      </c>
      <c r="D166" s="371">
        <v>65</v>
      </c>
      <c r="E166" s="235">
        <v>0.8</v>
      </c>
      <c r="F166" s="231">
        <f>25549.16+125000</f>
        <v>150549.16</v>
      </c>
      <c r="G166" s="232">
        <v>23932.21</v>
      </c>
      <c r="H166" s="232">
        <v>1100.7</v>
      </c>
      <c r="I166" s="232">
        <v>776.1</v>
      </c>
      <c r="J166" s="232">
        <v>0</v>
      </c>
      <c r="K166" s="232">
        <v>0</v>
      </c>
      <c r="L166" s="232">
        <v>-36.479999999999997</v>
      </c>
      <c r="M166" s="232"/>
      <c r="N166" s="425">
        <f>Paramètres!$K$20/(Données!$H$302+Données!$I$302)*(Données!H166+Données!I166)</f>
        <v>178.44081048658543</v>
      </c>
      <c r="O166" s="232">
        <v>11178.1</v>
      </c>
      <c r="P166" s="232">
        <v>9532.1299999999992</v>
      </c>
      <c r="Q166" s="232">
        <v>0</v>
      </c>
      <c r="R166" s="232">
        <v>-69.150000000000006</v>
      </c>
      <c r="S166" s="232">
        <v>0</v>
      </c>
      <c r="T166" s="232">
        <v>0</v>
      </c>
      <c r="U166" s="232">
        <v>0</v>
      </c>
      <c r="V166" s="232">
        <v>0</v>
      </c>
      <c r="W166" s="233">
        <f t="shared" si="2"/>
        <v>197141.21081048661</v>
      </c>
      <c r="X166" s="232">
        <v>106</v>
      </c>
      <c r="Y166" s="232">
        <v>0</v>
      </c>
      <c r="Z166" s="234">
        <v>6.3E-2</v>
      </c>
      <c r="AA166" s="232">
        <v>7</v>
      </c>
      <c r="AB166" s="232">
        <v>7</v>
      </c>
      <c r="AC166" s="232" t="s">
        <v>566</v>
      </c>
      <c r="AD166" s="232" t="s">
        <v>566</v>
      </c>
      <c r="AE166" s="430">
        <v>0</v>
      </c>
    </row>
    <row r="167" spans="1:31" x14ac:dyDescent="0.25">
      <c r="A167" s="108">
        <v>5688</v>
      </c>
      <c r="B167" s="226" t="s">
        <v>261</v>
      </c>
      <c r="C167" s="368">
        <v>144</v>
      </c>
      <c r="D167" s="371">
        <v>65</v>
      </c>
      <c r="E167" s="235">
        <v>1</v>
      </c>
      <c r="F167" s="231">
        <v>215250.6</v>
      </c>
      <c r="G167" s="232">
        <v>48631.57</v>
      </c>
      <c r="H167" s="232">
        <v>2952.05</v>
      </c>
      <c r="I167" s="232">
        <v>1164.75</v>
      </c>
      <c r="J167" s="232">
        <v>0</v>
      </c>
      <c r="K167" s="232">
        <v>332.92</v>
      </c>
      <c r="L167" s="232">
        <v>-9054.9</v>
      </c>
      <c r="M167" s="232"/>
      <c r="N167" s="425">
        <f>Paramètres!$K$20/(Données!$H$302+Données!$I$302)*(Données!H167+Données!I167)</f>
        <v>391.41364482692609</v>
      </c>
      <c r="O167" s="232">
        <v>26322</v>
      </c>
      <c r="P167" s="232">
        <v>4200.21</v>
      </c>
      <c r="Q167" s="232">
        <v>814.5</v>
      </c>
      <c r="R167" s="232">
        <v>-35.4</v>
      </c>
      <c r="S167" s="232">
        <v>37235</v>
      </c>
      <c r="T167" s="232">
        <v>8599.7999999999993</v>
      </c>
      <c r="U167" s="232">
        <v>42945.2</v>
      </c>
      <c r="V167" s="232">
        <v>5276.3</v>
      </c>
      <c r="W167" s="233">
        <f t="shared" si="2"/>
        <v>385026.01364482683</v>
      </c>
      <c r="X167" s="232">
        <v>251</v>
      </c>
      <c r="Y167" s="232">
        <v>0</v>
      </c>
      <c r="Z167" s="234">
        <v>0.21199999999999999</v>
      </c>
      <c r="AA167" s="232">
        <v>18</v>
      </c>
      <c r="AB167" s="232">
        <v>18</v>
      </c>
      <c r="AC167" s="232" t="s">
        <v>566</v>
      </c>
      <c r="AD167" s="232" t="s">
        <v>566</v>
      </c>
      <c r="AE167" s="430">
        <v>0</v>
      </c>
    </row>
    <row r="168" spans="1:31" x14ac:dyDescent="0.25">
      <c r="A168" s="108">
        <v>5690</v>
      </c>
      <c r="B168" s="226" t="s">
        <v>262</v>
      </c>
      <c r="C168" s="368">
        <v>129</v>
      </c>
      <c r="D168" s="371">
        <v>68</v>
      </c>
      <c r="E168" s="235">
        <v>1</v>
      </c>
      <c r="F168" s="231">
        <v>250454.99</v>
      </c>
      <c r="G168" s="232">
        <v>32901.49</v>
      </c>
      <c r="H168" s="232">
        <v>2418.0500000000002</v>
      </c>
      <c r="I168" s="232">
        <v>1323.35</v>
      </c>
      <c r="J168" s="232">
        <v>0</v>
      </c>
      <c r="K168" s="232">
        <v>0</v>
      </c>
      <c r="L168" s="232">
        <v>-41.17</v>
      </c>
      <c r="M168" s="232"/>
      <c r="N168" s="425">
        <f>Paramètres!$K$20/(Données!$H$302+Données!$I$302)*(Données!H168+Données!I168)</f>
        <v>355.7216796432815</v>
      </c>
      <c r="O168" s="232">
        <v>25732.6</v>
      </c>
      <c r="P168" s="232">
        <v>-6696.62</v>
      </c>
      <c r="Q168" s="232">
        <v>184.3</v>
      </c>
      <c r="R168" s="232">
        <v>0</v>
      </c>
      <c r="S168" s="232">
        <v>18151.2</v>
      </c>
      <c r="T168" s="232">
        <v>6122.6</v>
      </c>
      <c r="U168" s="232">
        <v>22229.9</v>
      </c>
      <c r="V168" s="232">
        <v>0</v>
      </c>
      <c r="W168" s="233">
        <f t="shared" si="2"/>
        <v>353136.41167964321</v>
      </c>
      <c r="X168" s="232">
        <v>419</v>
      </c>
      <c r="Y168" s="232">
        <v>124</v>
      </c>
      <c r="Z168" s="234">
        <v>4.2000000000000003E-2</v>
      </c>
      <c r="AA168" s="232">
        <v>14</v>
      </c>
      <c r="AB168" s="232">
        <v>14</v>
      </c>
      <c r="AC168" s="232" t="s">
        <v>566</v>
      </c>
      <c r="AD168" s="232" t="s">
        <v>566</v>
      </c>
      <c r="AE168" s="430">
        <v>0</v>
      </c>
    </row>
    <row r="169" spans="1:31" x14ac:dyDescent="0.25">
      <c r="A169" s="108">
        <v>5692</v>
      </c>
      <c r="B169" s="226" t="s">
        <v>263</v>
      </c>
      <c r="C169" s="368">
        <v>634</v>
      </c>
      <c r="D169" s="371">
        <v>75</v>
      </c>
      <c r="E169" s="235">
        <v>1</v>
      </c>
      <c r="F169" s="231">
        <v>1022748.44</v>
      </c>
      <c r="G169" s="232">
        <v>107506.59</v>
      </c>
      <c r="H169" s="232">
        <v>22190.1</v>
      </c>
      <c r="I169" s="232">
        <v>2941.65</v>
      </c>
      <c r="J169" s="232">
        <v>0</v>
      </c>
      <c r="K169" s="232">
        <v>1419.34</v>
      </c>
      <c r="L169" s="232">
        <v>-9089.24</v>
      </c>
      <c r="M169" s="232"/>
      <c r="N169" s="425">
        <f>Paramètres!$K$20/(Données!$H$302+Données!$I$302)*(Données!H169+Données!I169)</f>
        <v>2389.4553702825251</v>
      </c>
      <c r="O169" s="232">
        <v>119624</v>
      </c>
      <c r="P169" s="232">
        <v>16279.97</v>
      </c>
      <c r="Q169" s="232">
        <v>4766.5</v>
      </c>
      <c r="R169" s="232">
        <v>-814.25</v>
      </c>
      <c r="S169" s="232">
        <v>80184.5</v>
      </c>
      <c r="T169" s="232">
        <v>0</v>
      </c>
      <c r="U169" s="232">
        <v>103457.65</v>
      </c>
      <c r="V169" s="232">
        <v>36300.75</v>
      </c>
      <c r="W169" s="233">
        <f t="shared" si="2"/>
        <v>1509905.4553702825</v>
      </c>
      <c r="X169" s="232">
        <v>323</v>
      </c>
      <c r="Y169" s="232">
        <v>120</v>
      </c>
      <c r="Z169" s="234">
        <v>0.14699999999999999</v>
      </c>
      <c r="AA169" s="232">
        <v>96</v>
      </c>
      <c r="AB169" s="232">
        <v>86</v>
      </c>
      <c r="AC169" s="232" t="s">
        <v>566</v>
      </c>
      <c r="AD169" s="232" t="s">
        <v>566</v>
      </c>
      <c r="AE169" s="430">
        <v>0</v>
      </c>
    </row>
    <row r="170" spans="1:31" x14ac:dyDescent="0.25">
      <c r="A170" s="108">
        <v>5693</v>
      </c>
      <c r="B170" s="226" t="s">
        <v>264</v>
      </c>
      <c r="C170" s="368">
        <v>2856</v>
      </c>
      <c r="D170" s="371">
        <v>70</v>
      </c>
      <c r="E170" s="235">
        <v>1</v>
      </c>
      <c r="F170" s="231">
        <v>4186201.58</v>
      </c>
      <c r="G170" s="232">
        <v>634476.19999999995</v>
      </c>
      <c r="H170" s="232">
        <v>173604.85</v>
      </c>
      <c r="I170" s="232">
        <v>4757.3999999999996</v>
      </c>
      <c r="J170" s="232">
        <v>0</v>
      </c>
      <c r="K170" s="232">
        <v>13967.84</v>
      </c>
      <c r="L170" s="232">
        <v>-108771.16</v>
      </c>
      <c r="M170" s="232"/>
      <c r="N170" s="425">
        <f>Paramètres!$K$20/(Données!$H$302+Données!$I$302)*(Données!H170+Données!I170)</f>
        <v>16958.175857955546</v>
      </c>
      <c r="O170" s="232">
        <v>486053.65</v>
      </c>
      <c r="P170" s="232">
        <v>69908.22</v>
      </c>
      <c r="Q170" s="232">
        <v>13661.1</v>
      </c>
      <c r="R170" s="232">
        <v>-1343.5</v>
      </c>
      <c r="S170" s="232">
        <v>173184.7</v>
      </c>
      <c r="T170" s="232">
        <v>1320</v>
      </c>
      <c r="U170" s="232">
        <v>133530.54999999999</v>
      </c>
      <c r="V170" s="232">
        <v>60255.85</v>
      </c>
      <c r="W170" s="233">
        <f t="shared" si="2"/>
        <v>5857765.4558579549</v>
      </c>
      <c r="X170" s="232">
        <v>3342</v>
      </c>
      <c r="Y170" s="232">
        <v>2594</v>
      </c>
      <c r="Z170" s="234">
        <v>6.7000000000000004E-2</v>
      </c>
      <c r="AA170" s="232">
        <v>387</v>
      </c>
      <c r="AB170" s="232">
        <v>261</v>
      </c>
      <c r="AC170" s="232" t="s">
        <v>566</v>
      </c>
      <c r="AD170" s="232" t="s">
        <v>566</v>
      </c>
      <c r="AE170" s="430">
        <v>0</v>
      </c>
    </row>
    <row r="171" spans="1:31" x14ac:dyDescent="0.25">
      <c r="A171" s="108">
        <v>5701</v>
      </c>
      <c r="B171" s="226" t="s">
        <v>265</v>
      </c>
      <c r="C171" s="368">
        <v>274</v>
      </c>
      <c r="D171" s="371">
        <v>68</v>
      </c>
      <c r="E171" s="235">
        <v>1</v>
      </c>
      <c r="F171" s="231">
        <v>698092.47</v>
      </c>
      <c r="G171" s="232">
        <v>175046.57</v>
      </c>
      <c r="H171" s="232">
        <v>20548.599999999999</v>
      </c>
      <c r="I171" s="232">
        <v>2105.3000000000002</v>
      </c>
      <c r="J171" s="232">
        <v>265291.5</v>
      </c>
      <c r="K171" s="232">
        <v>0</v>
      </c>
      <c r="L171" s="232">
        <v>2638.75</v>
      </c>
      <c r="M171" s="232"/>
      <c r="N171" s="425">
        <f>Paramètres!$K$20/(Données!$H$302+Données!$I$302)*(Données!H171+Données!I171)</f>
        <v>2153.8684338672515</v>
      </c>
      <c r="O171" s="232">
        <v>85176.8</v>
      </c>
      <c r="P171" s="232">
        <v>32786.870000000003</v>
      </c>
      <c r="Q171" s="232">
        <v>3410.5</v>
      </c>
      <c r="R171" s="232">
        <v>-2408.5</v>
      </c>
      <c r="S171" s="232">
        <f>158143.15-50000</f>
        <v>108143.15</v>
      </c>
      <c r="T171" s="232">
        <v>8125</v>
      </c>
      <c r="U171" s="232">
        <f>165294.9-100000</f>
        <v>65294.899999999994</v>
      </c>
      <c r="V171" s="232">
        <v>0</v>
      </c>
      <c r="W171" s="233">
        <f t="shared" si="2"/>
        <v>1466405.7784338673</v>
      </c>
      <c r="X171" s="232">
        <v>208</v>
      </c>
      <c r="Y171" s="232">
        <v>0</v>
      </c>
      <c r="Z171" s="234">
        <v>2.9000000000000001E-2</v>
      </c>
      <c r="AA171" s="232">
        <v>14</v>
      </c>
      <c r="AB171" s="232">
        <v>5</v>
      </c>
      <c r="AC171" s="232" t="s">
        <v>566</v>
      </c>
      <c r="AD171" s="232" t="s">
        <v>566</v>
      </c>
      <c r="AE171" s="430">
        <v>0</v>
      </c>
    </row>
    <row r="172" spans="1:31" x14ac:dyDescent="0.25">
      <c r="A172" s="108">
        <v>5702</v>
      </c>
      <c r="B172" s="226" t="s">
        <v>266</v>
      </c>
      <c r="C172" s="368">
        <v>2999</v>
      </c>
      <c r="D172" s="371">
        <v>64</v>
      </c>
      <c r="E172" s="235">
        <v>1.5</v>
      </c>
      <c r="F172" s="231">
        <v>9054123.9199999999</v>
      </c>
      <c r="G172" s="232">
        <v>1796395.29</v>
      </c>
      <c r="H172" s="232">
        <v>88772.95</v>
      </c>
      <c r="I172" s="232">
        <v>19319.900000000001</v>
      </c>
      <c r="J172" s="232">
        <v>301171.25</v>
      </c>
      <c r="K172" s="232">
        <v>20763.13</v>
      </c>
      <c r="L172" s="232">
        <v>-128177.78</v>
      </c>
      <c r="M172" s="232"/>
      <c r="N172" s="425">
        <f>Paramètres!$K$20/(Données!$H$302+Données!$I$302)*(Données!H172+Données!I172)</f>
        <v>10277.16099840415</v>
      </c>
      <c r="O172" s="232">
        <v>1388271.4</v>
      </c>
      <c r="P172" s="232">
        <v>58153.67</v>
      </c>
      <c r="Q172" s="232">
        <v>20086.55</v>
      </c>
      <c r="R172" s="232">
        <v>-37428.81</v>
      </c>
      <c r="S172" s="232">
        <v>820741.9</v>
      </c>
      <c r="T172" s="232">
        <f>1650301.2-1550000</f>
        <v>100301.19999999995</v>
      </c>
      <c r="U172" s="232">
        <v>522882.1</v>
      </c>
      <c r="V172" s="232">
        <v>73450.75</v>
      </c>
      <c r="W172" s="233">
        <f t="shared" si="2"/>
        <v>14109104.580998406</v>
      </c>
      <c r="X172" s="232">
        <v>5165</v>
      </c>
      <c r="Y172" s="232">
        <v>2428</v>
      </c>
      <c r="Z172" s="234">
        <v>0.251</v>
      </c>
      <c r="AA172" s="232">
        <v>389</v>
      </c>
      <c r="AB172" s="232">
        <v>193</v>
      </c>
      <c r="AC172" s="232" t="s">
        <v>566</v>
      </c>
      <c r="AD172" s="232" t="s">
        <v>566</v>
      </c>
      <c r="AE172" s="430">
        <v>0</v>
      </c>
    </row>
    <row r="173" spans="1:31" x14ac:dyDescent="0.25">
      <c r="A173" s="108">
        <v>5703</v>
      </c>
      <c r="B173" s="226" t="s">
        <v>412</v>
      </c>
      <c r="C173" s="368">
        <v>1468</v>
      </c>
      <c r="D173" s="371">
        <v>72.5</v>
      </c>
      <c r="E173" s="235">
        <v>1.4</v>
      </c>
      <c r="F173" s="231">
        <v>4019188.35</v>
      </c>
      <c r="G173" s="232">
        <v>585534.96</v>
      </c>
      <c r="H173" s="232">
        <v>29766.15</v>
      </c>
      <c r="I173" s="232">
        <v>3025.7</v>
      </c>
      <c r="J173" s="232">
        <v>0</v>
      </c>
      <c r="K173" s="232">
        <v>948.47</v>
      </c>
      <c r="L173" s="232">
        <v>-64507.08</v>
      </c>
      <c r="M173" s="232"/>
      <c r="N173" s="425">
        <f>Paramètres!$K$20/(Données!$H$302+Données!$I$302)*(Données!H173+Données!I173)</f>
        <v>3117.7559097157587</v>
      </c>
      <c r="O173" s="232">
        <v>509412.1</v>
      </c>
      <c r="P173" s="232">
        <v>38711.07</v>
      </c>
      <c r="Q173" s="232">
        <v>4642.1499999999996</v>
      </c>
      <c r="R173" s="232">
        <v>-3708.51</v>
      </c>
      <c r="S173" s="232">
        <v>246419.20000000001</v>
      </c>
      <c r="T173" s="232">
        <v>0</v>
      </c>
      <c r="U173" s="232">
        <v>268882.95</v>
      </c>
      <c r="V173" s="232">
        <v>14044.05</v>
      </c>
      <c r="W173" s="233">
        <f t="shared" si="2"/>
        <v>5655477.3159097172</v>
      </c>
      <c r="X173" s="232">
        <v>2078</v>
      </c>
      <c r="Y173" s="232">
        <v>1166</v>
      </c>
      <c r="Z173" s="234">
        <v>0.20699999999999999</v>
      </c>
      <c r="AA173" s="232">
        <v>156</v>
      </c>
      <c r="AB173" s="232">
        <v>55</v>
      </c>
      <c r="AC173" s="232" t="s">
        <v>566</v>
      </c>
      <c r="AD173" s="232" t="s">
        <v>566</v>
      </c>
      <c r="AE173" s="430">
        <v>0</v>
      </c>
    </row>
    <row r="174" spans="1:31" x14ac:dyDescent="0.25">
      <c r="A174" s="108">
        <v>5704</v>
      </c>
      <c r="B174" s="226" t="s">
        <v>267</v>
      </c>
      <c r="C174" s="368">
        <v>2047</v>
      </c>
      <c r="D174" s="371">
        <v>62.5</v>
      </c>
      <c r="E174" s="235">
        <v>1.5</v>
      </c>
      <c r="F174" s="231">
        <v>7459796.4400000004</v>
      </c>
      <c r="G174" s="232">
        <v>1712334.63</v>
      </c>
      <c r="H174" s="232">
        <v>38139.449999999997</v>
      </c>
      <c r="I174" s="232">
        <v>10562.4</v>
      </c>
      <c r="J174" s="232">
        <v>178674.45</v>
      </c>
      <c r="K174" s="232">
        <v>16982.03</v>
      </c>
      <c r="L174" s="232">
        <v>-50985.64</v>
      </c>
      <c r="M174" s="232"/>
      <c r="N174" s="425">
        <f>Paramètres!$K$20/(Données!$H$302+Données!$I$302)*(Données!H174+Données!I174)</f>
        <v>4630.4334964813033</v>
      </c>
      <c r="O174" s="232">
        <v>891328.55</v>
      </c>
      <c r="P174" s="232">
        <v>111060.82</v>
      </c>
      <c r="Q174" s="232">
        <v>25679.95</v>
      </c>
      <c r="R174" s="232">
        <v>-18301.02</v>
      </c>
      <c r="S174" s="232">
        <v>383659.3</v>
      </c>
      <c r="T174" s="232">
        <v>179071</v>
      </c>
      <c r="U174" s="232">
        <v>310026.09999999998</v>
      </c>
      <c r="V174" s="232">
        <v>46546.8</v>
      </c>
      <c r="W174" s="233">
        <f t="shared" si="2"/>
        <v>11299205.693496481</v>
      </c>
      <c r="X174" s="232">
        <v>478</v>
      </c>
      <c r="Y174" s="232">
        <v>0</v>
      </c>
      <c r="Z174" s="234">
        <v>0.126</v>
      </c>
      <c r="AA174" s="232">
        <v>181</v>
      </c>
      <c r="AB174" s="232">
        <v>45</v>
      </c>
      <c r="AC174" s="232" t="s">
        <v>566</v>
      </c>
      <c r="AD174" s="232" t="s">
        <v>566</v>
      </c>
      <c r="AE174" s="430">
        <v>0</v>
      </c>
    </row>
    <row r="175" spans="1:31" x14ac:dyDescent="0.25">
      <c r="A175" s="108">
        <v>5705</v>
      </c>
      <c r="B175" s="226" t="s">
        <v>268</v>
      </c>
      <c r="C175" s="368">
        <v>961</v>
      </c>
      <c r="D175" s="371">
        <v>70</v>
      </c>
      <c r="E175" s="235">
        <v>1</v>
      </c>
      <c r="F175" s="231">
        <v>3316905.9</v>
      </c>
      <c r="G175" s="232">
        <v>504258.26</v>
      </c>
      <c r="H175" s="232">
        <v>74184.100000000006</v>
      </c>
      <c r="I175" s="232">
        <v>2625.9</v>
      </c>
      <c r="J175" s="232">
        <v>0</v>
      </c>
      <c r="K175" s="232">
        <v>455.49</v>
      </c>
      <c r="L175" s="232">
        <v>-1329.12</v>
      </c>
      <c r="M175" s="232"/>
      <c r="N175" s="425">
        <f>Paramètres!$K$20/(Données!$H$302+Données!$I$302)*(Données!H175+Données!I175)</f>
        <v>7302.8765203935563</v>
      </c>
      <c r="O175" s="232">
        <v>272103.40000000002</v>
      </c>
      <c r="P175" s="232">
        <v>6101.23</v>
      </c>
      <c r="Q175" s="232">
        <v>9444.4500000000007</v>
      </c>
      <c r="R175" s="232">
        <v>-15387.54</v>
      </c>
      <c r="S175" s="232">
        <v>364798.5</v>
      </c>
      <c r="T175" s="232">
        <v>0</v>
      </c>
      <c r="U175" s="232">
        <v>140194.4</v>
      </c>
      <c r="V175" s="232">
        <v>64225.2</v>
      </c>
      <c r="W175" s="233">
        <f t="shared" si="2"/>
        <v>4745883.0465203943</v>
      </c>
      <c r="X175" s="232">
        <v>242</v>
      </c>
      <c r="Y175" s="232">
        <v>0</v>
      </c>
      <c r="Z175" s="234">
        <v>8.9999999999999993E-3</v>
      </c>
      <c r="AA175" s="232">
        <v>104</v>
      </c>
      <c r="AB175" s="232">
        <v>57</v>
      </c>
      <c r="AC175" s="232" t="s">
        <v>566</v>
      </c>
      <c r="AD175" s="232" t="s">
        <v>566</v>
      </c>
      <c r="AE175" s="430">
        <v>0</v>
      </c>
    </row>
    <row r="176" spans="1:31" x14ac:dyDescent="0.25">
      <c r="A176" s="108">
        <v>5706</v>
      </c>
      <c r="B176" s="226" t="s">
        <v>269</v>
      </c>
      <c r="C176" s="368">
        <v>1168</v>
      </c>
      <c r="D176" s="371">
        <v>57</v>
      </c>
      <c r="E176" s="235">
        <v>1.5</v>
      </c>
      <c r="F176" s="231">
        <v>3518609.6</v>
      </c>
      <c r="G176" s="232">
        <v>702111.41</v>
      </c>
      <c r="H176" s="232">
        <v>41901.1</v>
      </c>
      <c r="I176" s="232">
        <v>3022.55</v>
      </c>
      <c r="J176" s="232">
        <v>51492.5</v>
      </c>
      <c r="K176" s="232">
        <v>104.14</v>
      </c>
      <c r="L176" s="232">
        <v>-15825.99</v>
      </c>
      <c r="M176" s="232"/>
      <c r="N176" s="425">
        <f>Paramètres!$K$20/(Données!$H$302+Données!$I$302)*(Données!H176+Données!I176)</f>
        <v>4271.212977416717</v>
      </c>
      <c r="O176" s="232">
        <v>458329.95</v>
      </c>
      <c r="P176" s="232">
        <v>4707.58</v>
      </c>
      <c r="Q176" s="232">
        <v>11042.75</v>
      </c>
      <c r="R176" s="232">
        <v>-46287.5</v>
      </c>
      <c r="S176" s="232">
        <v>97086.65</v>
      </c>
      <c r="T176" s="232">
        <v>0</v>
      </c>
      <c r="U176" s="232">
        <v>81405.75</v>
      </c>
      <c r="V176" s="232">
        <v>14956.6</v>
      </c>
      <c r="W176" s="233">
        <f t="shared" si="2"/>
        <v>4926928.3029774157</v>
      </c>
      <c r="X176" s="232">
        <v>196</v>
      </c>
      <c r="Y176" s="232">
        <v>0</v>
      </c>
      <c r="Z176" s="234">
        <v>0.01</v>
      </c>
      <c r="AA176" s="232">
        <v>132</v>
      </c>
      <c r="AB176" s="232">
        <v>61</v>
      </c>
      <c r="AC176" s="232" t="s">
        <v>566</v>
      </c>
      <c r="AD176" s="232" t="s">
        <v>566</v>
      </c>
      <c r="AE176" s="430">
        <v>0</v>
      </c>
    </row>
    <row r="177" spans="1:31" x14ac:dyDescent="0.25">
      <c r="A177" s="108">
        <v>5707</v>
      </c>
      <c r="B177" s="226" t="s">
        <v>270</v>
      </c>
      <c r="C177" s="368">
        <v>1423</v>
      </c>
      <c r="D177" s="371">
        <v>58</v>
      </c>
      <c r="E177" s="235">
        <v>1.5</v>
      </c>
      <c r="F177" s="231">
        <v>3507789.35</v>
      </c>
      <c r="G177" s="232">
        <v>626654.16</v>
      </c>
      <c r="H177" s="232">
        <v>160597</v>
      </c>
      <c r="I177" s="232">
        <v>42223.6</v>
      </c>
      <c r="J177" s="232">
        <v>34636.15</v>
      </c>
      <c r="K177" s="232">
        <v>50147.81</v>
      </c>
      <c r="L177" s="232">
        <v>-68646.61</v>
      </c>
      <c r="M177" s="232"/>
      <c r="N177" s="425">
        <f>Paramètres!$K$20/(Données!$H$302+Données!$I$302)*(Données!H177+Données!I177)</f>
        <v>19283.606269914508</v>
      </c>
      <c r="O177" s="232">
        <v>790817.6</v>
      </c>
      <c r="P177" s="232">
        <v>65404.2</v>
      </c>
      <c r="Q177" s="232">
        <v>57098.45</v>
      </c>
      <c r="R177" s="232">
        <v>-2532.9899999999998</v>
      </c>
      <c r="S177" s="232">
        <v>474721.45</v>
      </c>
      <c r="T177" s="232">
        <v>0</v>
      </c>
      <c r="U177" s="232">
        <v>249822.1</v>
      </c>
      <c r="V177" s="232">
        <v>769499</v>
      </c>
      <c r="W177" s="233">
        <f t="shared" si="2"/>
        <v>6777514.8762699133</v>
      </c>
      <c r="X177" s="232">
        <v>274</v>
      </c>
      <c r="Y177" s="232">
        <v>0</v>
      </c>
      <c r="Z177" s="234">
        <v>0.01</v>
      </c>
      <c r="AA177" s="232">
        <v>172</v>
      </c>
      <c r="AB177" s="232">
        <v>86</v>
      </c>
      <c r="AC177" s="232" t="s">
        <v>566</v>
      </c>
      <c r="AD177" s="232" t="s">
        <v>566</v>
      </c>
      <c r="AE177" s="430">
        <v>0</v>
      </c>
    </row>
    <row r="178" spans="1:31" x14ac:dyDescent="0.25">
      <c r="A178" s="108">
        <v>5708</v>
      </c>
      <c r="B178" s="226" t="s">
        <v>271</v>
      </c>
      <c r="C178" s="368">
        <v>983</v>
      </c>
      <c r="D178" s="371">
        <v>66</v>
      </c>
      <c r="E178" s="235">
        <v>1.5</v>
      </c>
      <c r="F178" s="231">
        <v>3455574.51</v>
      </c>
      <c r="G178" s="232">
        <v>792859.76</v>
      </c>
      <c r="H178" s="232">
        <v>46925.5</v>
      </c>
      <c r="I178" s="232">
        <v>1072.9000000000001</v>
      </c>
      <c r="J178" s="232">
        <v>0</v>
      </c>
      <c r="K178" s="232">
        <v>0</v>
      </c>
      <c r="L178" s="232">
        <v>-4669.21</v>
      </c>
      <c r="M178" s="232"/>
      <c r="N178" s="425">
        <f>Paramètres!$K$20/(Données!$H$302+Données!$I$302)*(Données!H178+Données!I178)</f>
        <v>4563.5514695541997</v>
      </c>
      <c r="O178" s="232">
        <v>462982.05</v>
      </c>
      <c r="P178" s="232">
        <v>2384.79</v>
      </c>
      <c r="Q178" s="232">
        <v>13715.8</v>
      </c>
      <c r="R178" s="232">
        <v>-10384.57</v>
      </c>
      <c r="S178" s="232">
        <v>194071.4</v>
      </c>
      <c r="T178" s="232">
        <v>0</v>
      </c>
      <c r="U178" s="232">
        <v>85556.1</v>
      </c>
      <c r="V178" s="232">
        <v>19698.400000000001</v>
      </c>
      <c r="W178" s="233">
        <f t="shared" si="2"/>
        <v>5064350.9814695539</v>
      </c>
      <c r="X178" s="232">
        <v>212</v>
      </c>
      <c r="Y178" s="232">
        <v>0</v>
      </c>
      <c r="Z178" s="234">
        <v>5.0000000000000001E-3</v>
      </c>
      <c r="AA178" s="232">
        <v>105</v>
      </c>
      <c r="AB178" s="232">
        <v>105</v>
      </c>
      <c r="AC178" s="232" t="s">
        <v>566</v>
      </c>
      <c r="AD178" s="232" t="s">
        <v>566</v>
      </c>
      <c r="AE178" s="430">
        <v>0</v>
      </c>
    </row>
    <row r="179" spans="1:31" x14ac:dyDescent="0.25">
      <c r="A179" s="108">
        <v>5709</v>
      </c>
      <c r="B179" s="226" t="s">
        <v>272</v>
      </c>
      <c r="C179" s="368">
        <v>1272</v>
      </c>
      <c r="D179" s="371">
        <v>59</v>
      </c>
      <c r="E179" s="235">
        <v>1</v>
      </c>
      <c r="F179" s="231">
        <v>5077754.0599999996</v>
      </c>
      <c r="G179" s="232">
        <v>1022136.39</v>
      </c>
      <c r="H179" s="232">
        <v>12126.25</v>
      </c>
      <c r="I179" s="232">
        <v>13991.45</v>
      </c>
      <c r="J179" s="232">
        <v>618015.19999999995</v>
      </c>
      <c r="K179" s="232">
        <v>5562.75</v>
      </c>
      <c r="L179" s="232">
        <v>-11909.49</v>
      </c>
      <c r="M179" s="232"/>
      <c r="N179" s="425">
        <f>Paramètres!$K$20/(Données!$H$302+Données!$I$302)*(Données!H179+Données!I179)</f>
        <v>2483.1966943976408</v>
      </c>
      <c r="O179" s="232">
        <v>428184.5</v>
      </c>
      <c r="P179" s="232">
        <v>70952.41</v>
      </c>
      <c r="Q179" s="232">
        <v>12092.85</v>
      </c>
      <c r="R179" s="232">
        <v>-8150.1</v>
      </c>
      <c r="S179" s="232">
        <v>234669.85</v>
      </c>
      <c r="T179" s="232">
        <v>1540</v>
      </c>
      <c r="U179" s="232">
        <v>78971.5</v>
      </c>
      <c r="V179" s="232">
        <v>63767.95</v>
      </c>
      <c r="W179" s="233">
        <f t="shared" si="2"/>
        <v>7622188.7666943967</v>
      </c>
      <c r="X179" s="232">
        <v>1043</v>
      </c>
      <c r="Y179" s="232">
        <v>0</v>
      </c>
      <c r="Z179" s="234">
        <v>0.22800000000000001</v>
      </c>
      <c r="AA179" s="232">
        <v>145</v>
      </c>
      <c r="AB179" s="232">
        <v>61</v>
      </c>
      <c r="AC179" s="232" t="s">
        <v>566</v>
      </c>
      <c r="AD179" s="232" t="s">
        <v>566</v>
      </c>
      <c r="AE179" s="430">
        <v>0</v>
      </c>
    </row>
    <row r="180" spans="1:31" x14ac:dyDescent="0.25">
      <c r="A180" s="108">
        <v>5710</v>
      </c>
      <c r="B180" s="226" t="s">
        <v>273</v>
      </c>
      <c r="C180" s="368">
        <v>510</v>
      </c>
      <c r="D180" s="371">
        <v>49</v>
      </c>
      <c r="E180" s="235">
        <v>1</v>
      </c>
      <c r="F180" s="231">
        <v>1060830.3799999999</v>
      </c>
      <c r="G180" s="232">
        <v>217330.25</v>
      </c>
      <c r="H180" s="232">
        <v>-9663.9</v>
      </c>
      <c r="I180" s="232">
        <v>1094.9000000000001</v>
      </c>
      <c r="J180" s="232">
        <v>0</v>
      </c>
      <c r="K180" s="232">
        <v>35.630000000000003</v>
      </c>
      <c r="L180" s="232">
        <v>-244.42</v>
      </c>
      <c r="M180" s="232"/>
      <c r="N180" s="425">
        <f>Paramètres!$K$20/(Données!$H$302+Données!$I$302)*(Données!H180+Données!I180)</f>
        <v>-814.71616850999067</v>
      </c>
      <c r="O180" s="232">
        <v>137509.29999999999</v>
      </c>
      <c r="P180" s="232">
        <v>7234.83</v>
      </c>
      <c r="Q180" s="232">
        <v>6690.85</v>
      </c>
      <c r="R180" s="232">
        <v>-1626.24</v>
      </c>
      <c r="S180" s="232">
        <v>88160</v>
      </c>
      <c r="T180" s="232">
        <v>0</v>
      </c>
      <c r="U180" s="232">
        <v>56194.25</v>
      </c>
      <c r="V180" s="232">
        <v>96996.5</v>
      </c>
      <c r="W180" s="233">
        <f t="shared" si="2"/>
        <v>1659727.61383149</v>
      </c>
      <c r="X180" s="232">
        <v>294</v>
      </c>
      <c r="Y180" s="232">
        <v>0</v>
      </c>
      <c r="Z180" s="234">
        <v>2.9000000000000001E-2</v>
      </c>
      <c r="AA180" s="232">
        <v>59</v>
      </c>
      <c r="AB180" s="232">
        <v>20</v>
      </c>
      <c r="AC180" s="232" t="s">
        <v>566</v>
      </c>
      <c r="AD180" s="232" t="s">
        <v>566</v>
      </c>
      <c r="AE180" s="430">
        <v>0</v>
      </c>
    </row>
    <row r="181" spans="1:31" x14ac:dyDescent="0.25">
      <c r="A181" s="108">
        <v>5711</v>
      </c>
      <c r="B181" s="226" t="s">
        <v>274</v>
      </c>
      <c r="C181" s="368">
        <v>2968</v>
      </c>
      <c r="D181" s="371">
        <v>57</v>
      </c>
      <c r="E181" s="235">
        <v>1.3</v>
      </c>
      <c r="F181" s="231">
        <f>14325497.3-1010000</f>
        <v>13315497.300000001</v>
      </c>
      <c r="G181" s="232">
        <f>3427968.97-565000</f>
        <v>2862968.97</v>
      </c>
      <c r="H181" s="232">
        <v>151176.5</v>
      </c>
      <c r="I181" s="232">
        <v>9251.9</v>
      </c>
      <c r="J181" s="232">
        <v>232797.85</v>
      </c>
      <c r="K181" s="232">
        <v>15149.91</v>
      </c>
      <c r="L181" s="232">
        <v>-110940.82</v>
      </c>
      <c r="M181" s="232"/>
      <c r="N181" s="425">
        <f>Paramètres!$K$20/(Données!$H$302+Données!$I$302)*(Données!H181+Données!I181)</f>
        <v>15253.076364591923</v>
      </c>
      <c r="O181" s="232">
        <v>1365195.1</v>
      </c>
      <c r="P181" s="232">
        <v>8049.34</v>
      </c>
      <c r="Q181" s="232">
        <v>13907.1</v>
      </c>
      <c r="R181" s="232">
        <v>-51117.56</v>
      </c>
      <c r="S181" s="232">
        <v>928319.75</v>
      </c>
      <c r="T181" s="232">
        <v>4653</v>
      </c>
      <c r="U181" s="232">
        <v>613418.65</v>
      </c>
      <c r="V181" s="232">
        <v>47379.55</v>
      </c>
      <c r="W181" s="233">
        <f t="shared" si="2"/>
        <v>19420959.616364595</v>
      </c>
      <c r="X181" s="232">
        <v>650</v>
      </c>
      <c r="Y181" s="232">
        <v>0</v>
      </c>
      <c r="Z181" s="234">
        <v>8.0000000000000002E-3</v>
      </c>
      <c r="AA181" s="232">
        <v>282</v>
      </c>
      <c r="AB181" s="232">
        <v>14</v>
      </c>
      <c r="AC181" s="232" t="s">
        <v>566</v>
      </c>
      <c r="AD181" s="232" t="s">
        <v>566</v>
      </c>
      <c r="AE181" s="430">
        <v>0</v>
      </c>
    </row>
    <row r="182" spans="1:31" x14ac:dyDescent="0.25">
      <c r="A182" s="108">
        <v>5712</v>
      </c>
      <c r="B182" s="226" t="s">
        <v>275</v>
      </c>
      <c r="C182" s="368">
        <v>3233</v>
      </c>
      <c r="D182" s="371">
        <v>57</v>
      </c>
      <c r="E182" s="235">
        <v>1.5</v>
      </c>
      <c r="F182" s="231">
        <v>15746939.5</v>
      </c>
      <c r="G182" s="232">
        <v>7104808.2400000002</v>
      </c>
      <c r="H182" s="232">
        <v>259664.55</v>
      </c>
      <c r="I182" s="232">
        <v>95746.45</v>
      </c>
      <c r="J182" s="232">
        <v>806524.93</v>
      </c>
      <c r="K182" s="232">
        <v>14150.12</v>
      </c>
      <c r="L182" s="232">
        <v>-49863.08</v>
      </c>
      <c r="M182" s="232"/>
      <c r="N182" s="425">
        <f>Paramètres!$K$20/(Données!$H$302+Données!$I$302)*(Données!H182+Données!I182)</f>
        <v>33791.467868631611</v>
      </c>
      <c r="O182" s="232">
        <v>1998419.8</v>
      </c>
      <c r="P182" s="232">
        <v>195335.46</v>
      </c>
      <c r="Q182" s="232">
        <v>49852.5</v>
      </c>
      <c r="R182" s="232">
        <v>-112918.19</v>
      </c>
      <c r="S182" s="232">
        <v>1217217.3</v>
      </c>
      <c r="T182" s="232">
        <f>41023394.9-40600000</f>
        <v>423394.89999999851</v>
      </c>
      <c r="U182" s="232">
        <v>1678296.7</v>
      </c>
      <c r="V182" s="232">
        <v>152574.15</v>
      </c>
      <c r="W182" s="233">
        <f t="shared" si="2"/>
        <v>29613934.797868632</v>
      </c>
      <c r="X182" s="232">
        <v>184</v>
      </c>
      <c r="Y182" s="232">
        <v>2</v>
      </c>
      <c r="Z182" s="234">
        <v>3.5999999999999997E-2</v>
      </c>
      <c r="AA182" s="232">
        <v>296</v>
      </c>
      <c r="AB182" s="232">
        <v>2</v>
      </c>
      <c r="AC182" s="232" t="s">
        <v>566</v>
      </c>
      <c r="AD182" s="232" t="s">
        <v>566</v>
      </c>
      <c r="AE182" s="430">
        <v>0</v>
      </c>
    </row>
    <row r="183" spans="1:31" x14ac:dyDescent="0.25">
      <c r="A183" s="108">
        <v>5713</v>
      </c>
      <c r="B183" s="226" t="s">
        <v>276</v>
      </c>
      <c r="C183" s="368">
        <v>2483</v>
      </c>
      <c r="D183" s="371">
        <v>59</v>
      </c>
      <c r="E183" s="235">
        <v>1</v>
      </c>
      <c r="F183" s="231">
        <v>11067692.75</v>
      </c>
      <c r="G183" s="232">
        <v>5006858.37</v>
      </c>
      <c r="H183" s="232">
        <v>108709.15</v>
      </c>
      <c r="I183" s="232">
        <v>37798.800000000003</v>
      </c>
      <c r="J183" s="232">
        <v>398694.9</v>
      </c>
      <c r="K183" s="232">
        <v>532.91</v>
      </c>
      <c r="L183" s="232">
        <v>-58390.27</v>
      </c>
      <c r="M183" s="232"/>
      <c r="N183" s="425">
        <f>Paramètres!$K$20/(Données!$H$302+Données!$I$302)*(Données!H183+Données!I183)</f>
        <v>13929.559537898624</v>
      </c>
      <c r="O183" s="232">
        <v>986191.45</v>
      </c>
      <c r="P183" s="232">
        <v>427132.32</v>
      </c>
      <c r="Q183" s="232">
        <v>62429.25</v>
      </c>
      <c r="R183" s="232">
        <v>-76471.81</v>
      </c>
      <c r="S183" s="232">
        <v>591733</v>
      </c>
      <c r="T183" s="232">
        <v>675629.5</v>
      </c>
      <c r="U183" s="232">
        <v>254963.1</v>
      </c>
      <c r="V183" s="232">
        <v>41616.400000000001</v>
      </c>
      <c r="W183" s="233">
        <f t="shared" si="2"/>
        <v>19539049.379537903</v>
      </c>
      <c r="X183" s="232">
        <v>428</v>
      </c>
      <c r="Y183" s="232">
        <v>0</v>
      </c>
      <c r="Z183" s="234">
        <v>3.5999999999999997E-2</v>
      </c>
      <c r="AA183" s="232">
        <v>250</v>
      </c>
      <c r="AB183" s="232">
        <v>125</v>
      </c>
      <c r="AC183" s="232" t="s">
        <v>566</v>
      </c>
      <c r="AD183" s="232" t="s">
        <v>566</v>
      </c>
      <c r="AE183" s="430">
        <v>1</v>
      </c>
    </row>
    <row r="184" spans="1:31" x14ac:dyDescent="0.25">
      <c r="A184" s="108">
        <v>5714</v>
      </c>
      <c r="B184" s="226" t="s">
        <v>277</v>
      </c>
      <c r="C184" s="368">
        <v>1272</v>
      </c>
      <c r="D184" s="371">
        <v>65</v>
      </c>
      <c r="E184" s="235">
        <v>1</v>
      </c>
      <c r="F184" s="231">
        <v>3359200.33</v>
      </c>
      <c r="G184" s="232">
        <v>498588.64</v>
      </c>
      <c r="H184" s="232">
        <v>80653.149999999994</v>
      </c>
      <c r="I184" s="232">
        <v>6147</v>
      </c>
      <c r="J184" s="232">
        <v>120918.15</v>
      </c>
      <c r="K184" s="232">
        <v>0</v>
      </c>
      <c r="L184" s="232">
        <v>-4684.34</v>
      </c>
      <c r="M184" s="232"/>
      <c r="N184" s="425">
        <f>Paramètres!$K$20/(Données!$H$302+Données!$I$302)*(Données!H184+Données!I184)</f>
        <v>8252.7115922619287</v>
      </c>
      <c r="O184" s="232">
        <v>325823.59999999998</v>
      </c>
      <c r="P184" s="232">
        <v>6459.08</v>
      </c>
      <c r="Q184" s="232">
        <v>8048.3</v>
      </c>
      <c r="R184" s="232">
        <v>-6101.95</v>
      </c>
      <c r="S184" s="232">
        <v>200463.75</v>
      </c>
      <c r="T184" s="232">
        <v>13496.4</v>
      </c>
      <c r="U184" s="232">
        <v>69416.649999999994</v>
      </c>
      <c r="V184" s="232">
        <v>104406.75</v>
      </c>
      <c r="W184" s="233">
        <f t="shared" si="2"/>
        <v>4791088.2215922624</v>
      </c>
      <c r="X184" s="232">
        <v>202</v>
      </c>
      <c r="Y184" s="232">
        <v>0</v>
      </c>
      <c r="Z184" s="234">
        <v>1.6E-2</v>
      </c>
      <c r="AA184" s="232">
        <v>149</v>
      </c>
      <c r="AB184" s="232">
        <v>27</v>
      </c>
      <c r="AC184" s="232" t="s">
        <v>566</v>
      </c>
      <c r="AD184" s="232" t="s">
        <v>566</v>
      </c>
      <c r="AE184" s="430">
        <v>0</v>
      </c>
    </row>
    <row r="185" spans="1:31" x14ac:dyDescent="0.25">
      <c r="A185" s="108">
        <v>5715</v>
      </c>
      <c r="B185" s="226" t="s">
        <v>278</v>
      </c>
      <c r="C185" s="368">
        <v>1120</v>
      </c>
      <c r="D185" s="371">
        <v>66</v>
      </c>
      <c r="E185" s="235">
        <v>1</v>
      </c>
      <c r="F185" s="231">
        <v>4323709.66</v>
      </c>
      <c r="G185" s="232">
        <v>633384.23</v>
      </c>
      <c r="H185" s="232">
        <v>74493</v>
      </c>
      <c r="I185" s="232">
        <v>17233.150000000001</v>
      </c>
      <c r="J185" s="232">
        <v>0</v>
      </c>
      <c r="K185" s="232">
        <v>6725.25</v>
      </c>
      <c r="L185" s="232">
        <v>-2830.59</v>
      </c>
      <c r="M185" s="232"/>
      <c r="N185" s="425">
        <f>Paramètres!$K$20/(Données!$H$302+Données!$I$302)*(Données!H185+Données!I185)</f>
        <v>8721.0616734943032</v>
      </c>
      <c r="O185" s="232">
        <v>310426.59999999998</v>
      </c>
      <c r="P185" s="232">
        <v>12152.28</v>
      </c>
      <c r="Q185" s="232">
        <v>8374</v>
      </c>
      <c r="R185" s="232">
        <v>-4249.5</v>
      </c>
      <c r="S185" s="232">
        <v>395477.3</v>
      </c>
      <c r="T185" s="232">
        <v>0</v>
      </c>
      <c r="U185" s="232">
        <v>408027.25</v>
      </c>
      <c r="V185" s="232">
        <v>166077.35</v>
      </c>
      <c r="W185" s="233">
        <f t="shared" si="2"/>
        <v>6357721.0416734945</v>
      </c>
      <c r="X185" s="232">
        <v>405</v>
      </c>
      <c r="Y185" s="232">
        <v>0</v>
      </c>
      <c r="Z185" s="234">
        <v>1.7000000000000001E-2</v>
      </c>
      <c r="AA185" s="232">
        <v>140</v>
      </c>
      <c r="AB185" s="232">
        <v>75</v>
      </c>
      <c r="AC185" s="232" t="s">
        <v>566</v>
      </c>
      <c r="AD185" s="232" t="s">
        <v>566</v>
      </c>
      <c r="AE185" s="430">
        <v>0</v>
      </c>
    </row>
    <row r="186" spans="1:31" x14ac:dyDescent="0.25">
      <c r="A186" s="108">
        <v>5716</v>
      </c>
      <c r="B186" s="226" t="s">
        <v>279</v>
      </c>
      <c r="C186" s="368">
        <v>1811</v>
      </c>
      <c r="D186" s="371">
        <v>59.5</v>
      </c>
      <c r="E186" s="235">
        <v>1</v>
      </c>
      <c r="F186" s="231">
        <v>5396434.1500000004</v>
      </c>
      <c r="G186" s="232">
        <v>1519608.33</v>
      </c>
      <c r="H186" s="232">
        <f>18515705.05-6000000</f>
        <v>12515705.050000001</v>
      </c>
      <c r="I186" s="232">
        <v>872360.05</v>
      </c>
      <c r="J186" s="232">
        <v>0</v>
      </c>
      <c r="K186" s="232">
        <v>13078.13</v>
      </c>
      <c r="L186" s="232">
        <v>-20286.23</v>
      </c>
      <c r="M186" s="232"/>
      <c r="N186" s="425">
        <f>Paramètres!$K$20/(Données!$H$302+Données!$I$302)*(Données!H186+Données!I186)</f>
        <v>1272899.1833392843</v>
      </c>
      <c r="O186" s="232">
        <v>722205.25</v>
      </c>
      <c r="P186" s="232">
        <v>274168.94</v>
      </c>
      <c r="Q186" s="232">
        <v>92523.5</v>
      </c>
      <c r="R186" s="232">
        <v>-39592.75</v>
      </c>
      <c r="S186" s="232">
        <v>281863.45</v>
      </c>
      <c r="T186" s="232">
        <v>15555.4</v>
      </c>
      <c r="U186" s="232">
        <v>181899.85</v>
      </c>
      <c r="V186" s="232">
        <v>443834.05</v>
      </c>
      <c r="W186" s="233">
        <f t="shared" si="2"/>
        <v>23542256.353339285</v>
      </c>
      <c r="X186" s="232">
        <v>236</v>
      </c>
      <c r="Y186" s="232">
        <v>0</v>
      </c>
      <c r="Z186" s="234">
        <v>4.4999999999999998E-2</v>
      </c>
      <c r="AA186" s="232">
        <v>216</v>
      </c>
      <c r="AB186" s="232">
        <v>116</v>
      </c>
      <c r="AC186" s="232" t="s">
        <v>566</v>
      </c>
      <c r="AD186" s="232" t="s">
        <v>566</v>
      </c>
      <c r="AE186" s="430">
        <v>0</v>
      </c>
    </row>
    <row r="187" spans="1:31" x14ac:dyDescent="0.25">
      <c r="A187" s="108">
        <v>5717</v>
      </c>
      <c r="B187" s="226" t="s">
        <v>280</v>
      </c>
      <c r="C187" s="368">
        <v>3737</v>
      </c>
      <c r="D187" s="371">
        <v>57</v>
      </c>
      <c r="E187" s="235">
        <v>1</v>
      </c>
      <c r="F187" s="231">
        <v>16346021.23</v>
      </c>
      <c r="G187" s="232">
        <v>4488425.53</v>
      </c>
      <c r="H187" s="232">
        <v>140831.4</v>
      </c>
      <c r="I187" s="232">
        <v>43909.65</v>
      </c>
      <c r="J187" s="232">
        <v>1306360.96</v>
      </c>
      <c r="K187" s="232">
        <v>26156.87</v>
      </c>
      <c r="L187" s="232">
        <v>-56575.43</v>
      </c>
      <c r="M187" s="232"/>
      <c r="N187" s="425">
        <f>Paramètres!$K$20/(Données!$H$302+Données!$I$302)*(Données!H187+Données!I187)</f>
        <v>17564.654034602943</v>
      </c>
      <c r="O187" s="232">
        <v>1545554.55</v>
      </c>
      <c r="P187" s="232">
        <v>188862.99</v>
      </c>
      <c r="Q187" s="232">
        <v>103661.5</v>
      </c>
      <c r="R187" s="232">
        <v>-148410.76</v>
      </c>
      <c r="S187" s="232">
        <v>1193386.5</v>
      </c>
      <c r="T187" s="232">
        <f>624967.3-600000</f>
        <v>24967.300000000047</v>
      </c>
      <c r="U187" s="232">
        <f>1798999.2-740000</f>
        <v>1058999.2</v>
      </c>
      <c r="V187" s="232">
        <v>275412.7</v>
      </c>
      <c r="W187" s="233">
        <f t="shared" si="2"/>
        <v>26555128.844034601</v>
      </c>
      <c r="X187" s="232">
        <v>476</v>
      </c>
      <c r="Y187" s="232">
        <v>0</v>
      </c>
      <c r="Z187" s="234">
        <v>1.4E-2</v>
      </c>
      <c r="AA187" s="232">
        <v>384</v>
      </c>
      <c r="AB187" s="232">
        <v>41</v>
      </c>
      <c r="AC187" s="232" t="s">
        <v>566</v>
      </c>
      <c r="AD187" s="232" t="s">
        <v>566</v>
      </c>
      <c r="AE187" s="430">
        <v>0</v>
      </c>
    </row>
    <row r="188" spans="1:31" x14ac:dyDescent="0.25">
      <c r="A188" s="108">
        <v>5718</v>
      </c>
      <c r="B188" s="226" t="s">
        <v>281</v>
      </c>
      <c r="C188" s="368">
        <v>2071</v>
      </c>
      <c r="D188" s="371">
        <v>52</v>
      </c>
      <c r="E188" s="235">
        <v>1</v>
      </c>
      <c r="F188" s="231">
        <v>7700594.3499999996</v>
      </c>
      <c r="G188" s="232">
        <v>2034240.9</v>
      </c>
      <c r="H188" s="232">
        <v>195703.75</v>
      </c>
      <c r="I188" s="232">
        <v>50600.95</v>
      </c>
      <c r="J188" s="232">
        <v>653939.36</v>
      </c>
      <c r="K188" s="232">
        <v>8603.9699999999993</v>
      </c>
      <c r="L188" s="232">
        <v>-15699.13</v>
      </c>
      <c r="M188" s="232"/>
      <c r="N188" s="425">
        <f>Paramètres!$K$20/(Données!$H$302+Données!$I$302)*(Données!H188+Données!I188)</f>
        <v>23417.95092426219</v>
      </c>
      <c r="O188" s="232">
        <v>764831.05</v>
      </c>
      <c r="P188" s="232">
        <v>141728.22</v>
      </c>
      <c r="Q188" s="232">
        <v>49101.2</v>
      </c>
      <c r="R188" s="232">
        <v>-27376.47</v>
      </c>
      <c r="S188" s="232">
        <f>589081.95-100000</f>
        <v>489081.94999999995</v>
      </c>
      <c r="T188" s="232">
        <f>1028831.7-800000</f>
        <v>228831.69999999995</v>
      </c>
      <c r="U188" s="232">
        <f>612939.3-200000</f>
        <v>412939.30000000005</v>
      </c>
      <c r="V188" s="232">
        <v>235685.55</v>
      </c>
      <c r="W188" s="233">
        <f t="shared" si="2"/>
        <v>12946224.600924261</v>
      </c>
      <c r="X188" s="232">
        <v>484</v>
      </c>
      <c r="Y188" s="232">
        <v>0</v>
      </c>
      <c r="Z188" s="234">
        <v>7.2999999999999995E-2</v>
      </c>
      <c r="AA188" s="232">
        <v>237</v>
      </c>
      <c r="AB188" s="232">
        <v>94</v>
      </c>
      <c r="AC188" s="232" t="s">
        <v>566</v>
      </c>
      <c r="AD188" s="232" t="s">
        <v>566</v>
      </c>
      <c r="AE188" s="430">
        <v>0</v>
      </c>
    </row>
    <row r="189" spans="1:31" x14ac:dyDescent="0.25">
      <c r="A189" s="108">
        <v>5719</v>
      </c>
      <c r="B189" s="226" t="s">
        <v>282</v>
      </c>
      <c r="C189" s="368">
        <v>1241</v>
      </c>
      <c r="D189" s="371">
        <v>60</v>
      </c>
      <c r="E189" s="235">
        <v>0.6</v>
      </c>
      <c r="F189" s="231">
        <v>5796993.9199999999</v>
      </c>
      <c r="G189" s="232">
        <v>3182306.7</v>
      </c>
      <c r="H189" s="232">
        <v>100247.45</v>
      </c>
      <c r="I189" s="232">
        <v>6665.05</v>
      </c>
      <c r="J189" s="232">
        <v>254974.4</v>
      </c>
      <c r="K189" s="232">
        <v>28082.86</v>
      </c>
      <c r="L189" s="232">
        <v>-28103.95</v>
      </c>
      <c r="M189" s="232"/>
      <c r="N189" s="425">
        <f>Paramètres!$K$20/(Données!$H$302+Données!$I$302)*(Données!H189+Données!I189)</f>
        <v>10164.936674737353</v>
      </c>
      <c r="O189" s="232">
        <v>280066.5</v>
      </c>
      <c r="P189" s="232">
        <v>36214.769999999997</v>
      </c>
      <c r="Q189" s="232">
        <v>12092.45</v>
      </c>
      <c r="R189" s="232">
        <v>-9626.15</v>
      </c>
      <c r="S189" s="232">
        <v>177068.85</v>
      </c>
      <c r="T189" s="232">
        <v>128184.4</v>
      </c>
      <c r="U189" s="232">
        <v>91877.7</v>
      </c>
      <c r="V189" s="232">
        <v>63888.9</v>
      </c>
      <c r="W189" s="233">
        <f t="shared" si="2"/>
        <v>10131098.786674736</v>
      </c>
      <c r="X189" s="232">
        <v>1249</v>
      </c>
      <c r="Y189" s="232">
        <v>2</v>
      </c>
      <c r="Z189" s="234">
        <v>0.31900000000000001</v>
      </c>
      <c r="AA189" s="232">
        <v>113</v>
      </c>
      <c r="AB189" s="232">
        <v>55</v>
      </c>
      <c r="AC189" s="232" t="s">
        <v>566</v>
      </c>
      <c r="AD189" s="232" t="s">
        <v>566</v>
      </c>
      <c r="AE189" s="430">
        <v>0</v>
      </c>
    </row>
    <row r="190" spans="1:31" x14ac:dyDescent="0.25">
      <c r="A190" s="108">
        <v>5720</v>
      </c>
      <c r="B190" s="226" t="s">
        <v>283</v>
      </c>
      <c r="C190" s="368">
        <v>1096</v>
      </c>
      <c r="D190" s="371">
        <v>67</v>
      </c>
      <c r="E190" s="235">
        <v>0.9</v>
      </c>
      <c r="F190" s="231">
        <v>3386697.01</v>
      </c>
      <c r="G190" s="232">
        <v>840489.72</v>
      </c>
      <c r="H190" s="232">
        <v>22910.400000000001</v>
      </c>
      <c r="I190" s="232">
        <v>8511.65</v>
      </c>
      <c r="J190" s="232">
        <v>577564.55000000005</v>
      </c>
      <c r="K190" s="232">
        <v>0</v>
      </c>
      <c r="L190" s="232">
        <v>-84020.7</v>
      </c>
      <c r="M190" s="232"/>
      <c r="N190" s="425">
        <f>Paramètres!$K$20/(Données!$H$302+Données!$I$302)*(Données!H190+Données!I190)</f>
        <v>2987.5192184303132</v>
      </c>
      <c r="O190" s="232">
        <v>312469.25</v>
      </c>
      <c r="P190" s="232">
        <v>28811.9</v>
      </c>
      <c r="Q190" s="232">
        <v>0</v>
      </c>
      <c r="R190" s="232">
        <v>-15096.99</v>
      </c>
      <c r="S190" s="232">
        <v>155402.79999999999</v>
      </c>
      <c r="T190" s="232">
        <v>0</v>
      </c>
      <c r="U190" s="232">
        <v>178295.2</v>
      </c>
      <c r="V190" s="232">
        <v>31096.6</v>
      </c>
      <c r="W190" s="233">
        <f t="shared" si="2"/>
        <v>5446118.9092184296</v>
      </c>
      <c r="X190" s="232">
        <v>394</v>
      </c>
      <c r="Y190" s="232">
        <v>0</v>
      </c>
      <c r="Z190" s="234">
        <v>0.248</v>
      </c>
      <c r="AA190" s="232">
        <v>115</v>
      </c>
      <c r="AB190" s="232">
        <v>18</v>
      </c>
      <c r="AC190" s="232" t="s">
        <v>566</v>
      </c>
      <c r="AD190" s="232" t="s">
        <v>566</v>
      </c>
      <c r="AE190" s="430">
        <v>0</v>
      </c>
    </row>
    <row r="191" spans="1:31" x14ac:dyDescent="0.25">
      <c r="A191" s="108">
        <v>5721</v>
      </c>
      <c r="B191" s="226" t="s">
        <v>284</v>
      </c>
      <c r="C191" s="368">
        <v>13978</v>
      </c>
      <c r="D191" s="371">
        <v>61</v>
      </c>
      <c r="E191" s="235">
        <v>1</v>
      </c>
      <c r="F191" s="231">
        <v>28090065.57</v>
      </c>
      <c r="G191" s="232">
        <v>6135934.9500000002</v>
      </c>
      <c r="H191" s="232">
        <v>9120939.9000000004</v>
      </c>
      <c r="I191" s="232">
        <v>287332.3</v>
      </c>
      <c r="J191" s="232">
        <v>663346.35</v>
      </c>
      <c r="K191" s="232">
        <v>61132.1</v>
      </c>
      <c r="L191" s="232">
        <v>-442855.96</v>
      </c>
      <c r="M191" s="232"/>
      <c r="N191" s="425">
        <f>Paramètres!$K$20/(Données!$H$302+Données!$I$302)*(Données!H191+Données!I191)</f>
        <v>894511.78423188953</v>
      </c>
      <c r="O191" s="232">
        <v>3337420.6</v>
      </c>
      <c r="P191" s="232">
        <v>1079986.1399999999</v>
      </c>
      <c r="Q191" s="232">
        <v>628530.80000000005</v>
      </c>
      <c r="R191" s="232">
        <v>-39583.11</v>
      </c>
      <c r="S191" s="232">
        <v>2226198.9</v>
      </c>
      <c r="T191" s="232">
        <v>378372.8</v>
      </c>
      <c r="U191" s="232">
        <v>1341832.8999999999</v>
      </c>
      <c r="V191" s="232">
        <v>3255194</v>
      </c>
      <c r="W191" s="233">
        <f t="shared" si="2"/>
        <v>57018360.024231881</v>
      </c>
      <c r="X191" s="232">
        <v>832</v>
      </c>
      <c r="Y191" s="232">
        <v>0</v>
      </c>
      <c r="Z191" s="234">
        <v>2.8000000000000001E-2</v>
      </c>
      <c r="AA191" s="232">
        <v>1692</v>
      </c>
      <c r="AB191" s="232">
        <v>61</v>
      </c>
      <c r="AC191" s="232">
        <v>496450.85</v>
      </c>
      <c r="AD191" s="232">
        <v>19132</v>
      </c>
      <c r="AE191" s="430">
        <v>0</v>
      </c>
    </row>
    <row r="192" spans="1:31" x14ac:dyDescent="0.25">
      <c r="A192" s="108">
        <v>5722</v>
      </c>
      <c r="B192" s="226" t="s">
        <v>285</v>
      </c>
      <c r="C192" s="368">
        <v>413</v>
      </c>
      <c r="D192" s="371">
        <v>62</v>
      </c>
      <c r="E192" s="235">
        <v>1</v>
      </c>
      <c r="F192" s="231">
        <v>1190573.51</v>
      </c>
      <c r="G192" s="232">
        <v>190837.9</v>
      </c>
      <c r="H192" s="232">
        <v>19692.599999999999</v>
      </c>
      <c r="I192" s="232">
        <v>9536.4</v>
      </c>
      <c r="J192" s="232">
        <v>0</v>
      </c>
      <c r="K192" s="232">
        <v>0</v>
      </c>
      <c r="L192" s="232">
        <v>-11303.05</v>
      </c>
      <c r="M192" s="232"/>
      <c r="N192" s="425">
        <f>Paramètres!$K$20/(Données!$H$302+Données!$I$302)*(Données!H192+Données!I192)</f>
        <v>2779.0102566668829</v>
      </c>
      <c r="O192" s="232">
        <v>153419.85</v>
      </c>
      <c r="P192" s="232">
        <v>42170.11</v>
      </c>
      <c r="Q192" s="232">
        <v>21416.35</v>
      </c>
      <c r="R192" s="232">
        <v>-2232.1</v>
      </c>
      <c r="S192" s="232">
        <v>605305.9</v>
      </c>
      <c r="T192" s="232">
        <v>2168.4</v>
      </c>
      <c r="U192" s="232">
        <v>182160.95</v>
      </c>
      <c r="V192" s="232">
        <v>238605.3</v>
      </c>
      <c r="W192" s="233">
        <f t="shared" si="2"/>
        <v>2645131.1302566668</v>
      </c>
      <c r="X192" s="232">
        <v>255</v>
      </c>
      <c r="Y192" s="232">
        <v>0</v>
      </c>
      <c r="Z192" s="234">
        <v>5.0000000000000001E-3</v>
      </c>
      <c r="AA192" s="232">
        <v>49</v>
      </c>
      <c r="AB192" s="232">
        <v>30</v>
      </c>
      <c r="AC192" s="232" t="s">
        <v>566</v>
      </c>
      <c r="AD192" s="232" t="s">
        <v>566</v>
      </c>
      <c r="AE192" s="430">
        <v>0</v>
      </c>
    </row>
    <row r="193" spans="1:31" x14ac:dyDescent="0.25">
      <c r="A193" s="108">
        <v>5723</v>
      </c>
      <c r="B193" s="226" t="s">
        <v>286</v>
      </c>
      <c r="C193" s="368">
        <v>2194</v>
      </c>
      <c r="D193" s="371">
        <v>54</v>
      </c>
      <c r="E193" s="235">
        <v>1</v>
      </c>
      <c r="F193" s="231">
        <v>11031536.029999999</v>
      </c>
      <c r="G193" s="232">
        <v>3324807.93</v>
      </c>
      <c r="H193" s="232">
        <v>170497.7</v>
      </c>
      <c r="I193" s="232">
        <v>11233.45</v>
      </c>
      <c r="J193" s="232">
        <v>731840.15</v>
      </c>
      <c r="K193" s="232">
        <v>1915.57</v>
      </c>
      <c r="L193" s="232">
        <v>-33895.67</v>
      </c>
      <c r="M193" s="232"/>
      <c r="N193" s="425">
        <f>Paramètres!$K$20/(Données!$H$302+Données!$I$302)*(Données!H193+Données!I193)</f>
        <v>17278.48129617393</v>
      </c>
      <c r="O193" s="232">
        <v>1069061.75</v>
      </c>
      <c r="P193" s="232">
        <v>23088.639999999999</v>
      </c>
      <c r="Q193" s="232">
        <v>88725.85</v>
      </c>
      <c r="R193" s="232">
        <v>-85553.29</v>
      </c>
      <c r="S193" s="232">
        <v>1228773.75</v>
      </c>
      <c r="T193" s="232">
        <v>380120.8</v>
      </c>
      <c r="U193" s="232">
        <v>359394</v>
      </c>
      <c r="V193" s="232">
        <v>239016.4</v>
      </c>
      <c r="W193" s="233">
        <f t="shared" si="2"/>
        <v>18557841.541296173</v>
      </c>
      <c r="X193" s="232">
        <v>349</v>
      </c>
      <c r="Y193" s="232">
        <v>0</v>
      </c>
      <c r="Z193" s="234">
        <v>1.9E-2</v>
      </c>
      <c r="AA193" s="232">
        <v>178</v>
      </c>
      <c r="AB193" s="232">
        <v>69</v>
      </c>
      <c r="AC193" s="232" t="s">
        <v>566</v>
      </c>
      <c r="AD193" s="232" t="s">
        <v>566</v>
      </c>
      <c r="AE193" s="430">
        <v>0</v>
      </c>
    </row>
    <row r="194" spans="1:31" x14ac:dyDescent="0.25">
      <c r="A194" s="108">
        <v>5724</v>
      </c>
      <c r="B194" s="226" t="s">
        <v>68</v>
      </c>
      <c r="C194" s="368">
        <v>23732</v>
      </c>
      <c r="D194" s="371">
        <v>61</v>
      </c>
      <c r="E194" s="235">
        <v>1.5</v>
      </c>
      <c r="F194" s="231">
        <v>72632101.920000002</v>
      </c>
      <c r="G194" s="232">
        <v>13490241.460000001</v>
      </c>
      <c r="H194" s="232">
        <v>9605214.5500000007</v>
      </c>
      <c r="I194" s="232">
        <v>1411595.55</v>
      </c>
      <c r="J194" s="232">
        <v>788073.33</v>
      </c>
      <c r="K194" s="232">
        <v>162488.49</v>
      </c>
      <c r="L194" s="232">
        <v>-773222.1</v>
      </c>
      <c r="M194" s="232"/>
      <c r="N194" s="425">
        <f>Paramètres!$K$20/(Données!$H$302+Données!$I$302)*(Données!H194+Données!I194)</f>
        <v>1047446.9966010234</v>
      </c>
      <c r="O194" s="232">
        <v>9483325.9499999993</v>
      </c>
      <c r="P194" s="232">
        <v>3280465.57</v>
      </c>
      <c r="Q194" s="232">
        <v>555043.44999999995</v>
      </c>
      <c r="R194" s="232">
        <v>-377616.34</v>
      </c>
      <c r="S194" s="232">
        <v>3361788.3</v>
      </c>
      <c r="T194" s="232">
        <v>4339292.2</v>
      </c>
      <c r="U194" s="232">
        <v>2453056.4</v>
      </c>
      <c r="V194" s="232">
        <v>5903364.0999999996</v>
      </c>
      <c r="W194" s="233">
        <f t="shared" si="2"/>
        <v>127362659.82660101</v>
      </c>
      <c r="X194" s="232">
        <v>683</v>
      </c>
      <c r="Y194" s="232">
        <v>0</v>
      </c>
      <c r="Z194" s="234">
        <v>5.8000000000000003E-2</v>
      </c>
      <c r="AA194" s="232">
        <v>2478</v>
      </c>
      <c r="AB194" s="232">
        <v>25</v>
      </c>
      <c r="AC194" s="232">
        <v>3557554</v>
      </c>
      <c r="AD194" s="232">
        <v>0</v>
      </c>
      <c r="AE194" s="430">
        <v>1</v>
      </c>
    </row>
    <row r="195" spans="1:31" x14ac:dyDescent="0.25">
      <c r="A195" s="108">
        <v>5725</v>
      </c>
      <c r="B195" s="226" t="s">
        <v>287</v>
      </c>
      <c r="C195" s="368">
        <v>4243</v>
      </c>
      <c r="D195" s="371">
        <v>55</v>
      </c>
      <c r="E195" s="235">
        <v>1.4</v>
      </c>
      <c r="F195" s="231">
        <v>11900614.91</v>
      </c>
      <c r="G195" s="232">
        <v>4621115.8</v>
      </c>
      <c r="H195" s="232">
        <v>1417806.15</v>
      </c>
      <c r="I195" s="232">
        <v>290602.84999999998</v>
      </c>
      <c r="J195" s="232">
        <v>292899.09999999998</v>
      </c>
      <c r="K195" s="232">
        <v>7179.08</v>
      </c>
      <c r="L195" s="232">
        <v>-56436</v>
      </c>
      <c r="M195" s="232"/>
      <c r="N195" s="425">
        <f>Paramètres!$K$20/(Données!$H$302+Données!$I$302)*(Données!H195+Données!I195)</f>
        <v>162430.6727422085</v>
      </c>
      <c r="O195" s="232">
        <v>1820475.35</v>
      </c>
      <c r="P195" s="232">
        <v>336021.37</v>
      </c>
      <c r="Q195" s="232">
        <v>21658.5</v>
      </c>
      <c r="R195" s="232">
        <v>-46164.15</v>
      </c>
      <c r="S195" s="232">
        <v>1517527.65</v>
      </c>
      <c r="T195" s="232">
        <v>42597.3</v>
      </c>
      <c r="U195" s="232">
        <v>828695.1</v>
      </c>
      <c r="V195" s="232">
        <v>1341152.95</v>
      </c>
      <c r="W195" s="233">
        <f t="shared" si="2"/>
        <v>24498176.632742215</v>
      </c>
      <c r="X195" s="232">
        <v>600</v>
      </c>
      <c r="Y195" s="232">
        <v>0</v>
      </c>
      <c r="Z195" s="234">
        <v>2.8000000000000001E-2</v>
      </c>
      <c r="AA195" s="232">
        <v>472</v>
      </c>
      <c r="AB195" s="232">
        <v>121</v>
      </c>
      <c r="AC195" s="232">
        <v>916487</v>
      </c>
      <c r="AD195" s="232">
        <v>0</v>
      </c>
      <c r="AE195" s="430">
        <v>1</v>
      </c>
    </row>
    <row r="196" spans="1:31" x14ac:dyDescent="0.25">
      <c r="A196" s="108">
        <v>5726</v>
      </c>
      <c r="B196" s="226" t="s">
        <v>288</v>
      </c>
      <c r="C196" s="368">
        <v>1218</v>
      </c>
      <c r="D196" s="371">
        <v>63.5</v>
      </c>
      <c r="E196" s="235">
        <v>1</v>
      </c>
      <c r="F196" s="231">
        <v>3743288.95</v>
      </c>
      <c r="G196" s="232">
        <v>783038.25</v>
      </c>
      <c r="H196" s="232">
        <v>14341.65</v>
      </c>
      <c r="I196" s="232">
        <v>4946.3</v>
      </c>
      <c r="J196" s="232">
        <v>0</v>
      </c>
      <c r="K196" s="232">
        <v>14279.69</v>
      </c>
      <c r="L196" s="232">
        <v>-23892.43</v>
      </c>
      <c r="M196" s="232"/>
      <c r="N196" s="425">
        <f>Paramètres!$K$20/(Données!$H$302+Données!$I$302)*(Données!H196+Données!I196)</f>
        <v>1833.8434732655242</v>
      </c>
      <c r="O196" s="232">
        <v>301019.84999999998</v>
      </c>
      <c r="P196" s="232">
        <v>27568.06</v>
      </c>
      <c r="Q196" s="232">
        <v>5293.95</v>
      </c>
      <c r="R196" s="232">
        <v>-14702.91</v>
      </c>
      <c r="S196" s="232">
        <v>132965.79999999999</v>
      </c>
      <c r="T196" s="232">
        <v>0</v>
      </c>
      <c r="U196" s="232">
        <v>211306.8</v>
      </c>
      <c r="V196" s="232">
        <v>34805.699999999997</v>
      </c>
      <c r="W196" s="233">
        <f t="shared" si="2"/>
        <v>5236093.503473266</v>
      </c>
      <c r="X196" s="232">
        <v>1646</v>
      </c>
      <c r="Y196" s="232">
        <v>0</v>
      </c>
      <c r="Z196" s="234">
        <v>0.29699999999999999</v>
      </c>
      <c r="AA196" s="232">
        <v>155</v>
      </c>
      <c r="AB196" s="232">
        <v>54</v>
      </c>
      <c r="AC196" s="232" t="s">
        <v>566</v>
      </c>
      <c r="AD196" s="232" t="s">
        <v>566</v>
      </c>
      <c r="AE196" s="430">
        <v>0</v>
      </c>
    </row>
    <row r="197" spans="1:31" x14ac:dyDescent="0.25">
      <c r="A197" s="108">
        <v>5727</v>
      </c>
      <c r="B197" s="226" t="s">
        <v>289</v>
      </c>
      <c r="C197" s="368">
        <v>3057</v>
      </c>
      <c r="D197" s="371">
        <v>66</v>
      </c>
      <c r="E197" s="235">
        <v>1.5</v>
      </c>
      <c r="F197" s="231">
        <v>5190413.57</v>
      </c>
      <c r="G197" s="232">
        <v>638585.48</v>
      </c>
      <c r="H197" s="232">
        <v>72750.850000000006</v>
      </c>
      <c r="I197" s="232">
        <v>-6546.6</v>
      </c>
      <c r="J197" s="232">
        <v>93713.9</v>
      </c>
      <c r="K197" s="232">
        <v>31740.1</v>
      </c>
      <c r="L197" s="232">
        <v>-248337.43</v>
      </c>
      <c r="M197" s="232"/>
      <c r="N197" s="425">
        <f>Paramètres!$K$20/(Données!$H$302+Données!$I$302)*(Données!H197+Données!I197)</f>
        <v>6294.5119499448656</v>
      </c>
      <c r="O197" s="232">
        <v>925043.65</v>
      </c>
      <c r="P197" s="232">
        <v>153777.75</v>
      </c>
      <c r="Q197" s="232">
        <v>13073</v>
      </c>
      <c r="R197" s="232">
        <v>-12017.64</v>
      </c>
      <c r="S197" s="232">
        <v>369007.35</v>
      </c>
      <c r="T197" s="232">
        <v>70023</v>
      </c>
      <c r="U197" s="232">
        <v>329444.75</v>
      </c>
      <c r="V197" s="232">
        <v>281407.05</v>
      </c>
      <c r="W197" s="233">
        <f t="shared" si="2"/>
        <v>7908373.2919499464</v>
      </c>
      <c r="X197" s="232">
        <v>2413</v>
      </c>
      <c r="Y197" s="232">
        <v>3057</v>
      </c>
      <c r="Z197" s="234">
        <v>0.27</v>
      </c>
      <c r="AA197" s="232">
        <v>353</v>
      </c>
      <c r="AB197" s="232">
        <v>177</v>
      </c>
      <c r="AC197" s="232" t="s">
        <v>566</v>
      </c>
      <c r="AD197" s="232" t="s">
        <v>566</v>
      </c>
      <c r="AE197" s="430">
        <v>0</v>
      </c>
    </row>
    <row r="198" spans="1:31" x14ac:dyDescent="0.25">
      <c r="A198" s="108">
        <v>5728</v>
      </c>
      <c r="B198" s="226" t="s">
        <v>290</v>
      </c>
      <c r="C198" s="368">
        <v>586</v>
      </c>
      <c r="D198" s="371">
        <v>58</v>
      </c>
      <c r="E198" s="235">
        <v>1</v>
      </c>
      <c r="F198" s="231">
        <v>1703190.41</v>
      </c>
      <c r="G198" s="232">
        <v>312556.33</v>
      </c>
      <c r="H198" s="232">
        <v>414854.2</v>
      </c>
      <c r="I198" s="232">
        <v>57056</v>
      </c>
      <c r="J198" s="232">
        <v>-31747.15</v>
      </c>
      <c r="K198" s="232">
        <v>0</v>
      </c>
      <c r="L198" s="232">
        <v>-11512.78</v>
      </c>
      <c r="M198" s="232"/>
      <c r="N198" s="425">
        <f>Paramètres!$K$20/(Données!$H$302+Données!$I$302)*(Données!H198+Données!I198)</f>
        <v>44867.880735766536</v>
      </c>
      <c r="O198" s="232">
        <v>247834.6</v>
      </c>
      <c r="P198" s="232">
        <v>59983.040000000001</v>
      </c>
      <c r="Q198" s="232">
        <v>61787.95</v>
      </c>
      <c r="R198" s="232">
        <v>-3742.9</v>
      </c>
      <c r="S198" s="232">
        <f>476633-373000</f>
        <v>103633</v>
      </c>
      <c r="T198" s="232">
        <v>0</v>
      </c>
      <c r="U198" s="232">
        <v>36721.050000000003</v>
      </c>
      <c r="V198" s="232">
        <v>282629.95</v>
      </c>
      <c r="W198" s="233">
        <f t="shared" si="2"/>
        <v>3278111.5807357673</v>
      </c>
      <c r="X198" s="232">
        <v>193</v>
      </c>
      <c r="Y198" s="232">
        <v>0</v>
      </c>
      <c r="Z198" s="234">
        <v>8.9999999999999993E-3</v>
      </c>
      <c r="AA198" s="232">
        <v>61</v>
      </c>
      <c r="AB198" s="232">
        <v>58</v>
      </c>
      <c r="AC198" s="232" t="s">
        <v>566</v>
      </c>
      <c r="AD198" s="232" t="s">
        <v>566</v>
      </c>
      <c r="AE198" s="430">
        <v>0.75</v>
      </c>
    </row>
    <row r="199" spans="1:31" x14ac:dyDescent="0.25">
      <c r="A199" s="108">
        <v>5729</v>
      </c>
      <c r="B199" s="226" t="s">
        <v>291</v>
      </c>
      <c r="C199" s="368">
        <v>1732</v>
      </c>
      <c r="D199" s="371">
        <v>60.5</v>
      </c>
      <c r="E199" s="235">
        <v>1.5</v>
      </c>
      <c r="F199" s="231">
        <v>8222102.4000000004</v>
      </c>
      <c r="G199" s="232">
        <v>1974323.62</v>
      </c>
      <c r="H199" s="232">
        <v>10199.200000000001</v>
      </c>
      <c r="I199" s="232">
        <v>7794.35</v>
      </c>
      <c r="J199" s="232">
        <v>252359.54</v>
      </c>
      <c r="K199" s="232">
        <v>4659.1000000000004</v>
      </c>
      <c r="L199" s="232">
        <v>-31907.52</v>
      </c>
      <c r="M199" s="232"/>
      <c r="N199" s="425">
        <f>Paramètres!$K$20/(Données!$H$302+Données!$I$302)*(Données!H199+Données!I199)</f>
        <v>1710.7755997074273</v>
      </c>
      <c r="O199" s="232">
        <v>1016937.75</v>
      </c>
      <c r="P199" s="232">
        <v>123917.61</v>
      </c>
      <c r="Q199" s="232">
        <v>7872.25</v>
      </c>
      <c r="R199" s="232">
        <v>-22763.02</v>
      </c>
      <c r="S199" s="232">
        <v>631094.05000000005</v>
      </c>
      <c r="T199" s="232">
        <v>2904</v>
      </c>
      <c r="U199" s="232">
        <v>507826.25</v>
      </c>
      <c r="V199" s="232">
        <v>25866</v>
      </c>
      <c r="W199" s="233">
        <f t="shared" si="2"/>
        <v>12734896.355599705</v>
      </c>
      <c r="X199" s="232">
        <v>178</v>
      </c>
      <c r="Y199" s="232">
        <v>0</v>
      </c>
      <c r="Z199" s="234">
        <v>3.2000000000000001E-2</v>
      </c>
      <c r="AA199" s="232">
        <v>150</v>
      </c>
      <c r="AB199" s="232">
        <v>13</v>
      </c>
      <c r="AC199" s="232" t="s">
        <v>566</v>
      </c>
      <c r="AD199" s="232" t="s">
        <v>566</v>
      </c>
      <c r="AE199" s="430">
        <v>0</v>
      </c>
    </row>
    <row r="200" spans="1:31" x14ac:dyDescent="0.25">
      <c r="A200" s="108">
        <v>5730</v>
      </c>
      <c r="B200" s="226" t="s">
        <v>292</v>
      </c>
      <c r="C200" s="368">
        <v>1427</v>
      </c>
      <c r="D200" s="371">
        <v>55.5</v>
      </c>
      <c r="E200" s="235">
        <v>0.9</v>
      </c>
      <c r="F200" s="231">
        <v>4917377.05</v>
      </c>
      <c r="G200" s="232">
        <v>2506471.31</v>
      </c>
      <c r="H200" s="232">
        <v>72355.399999999994</v>
      </c>
      <c r="I200" s="232">
        <v>3516.15</v>
      </c>
      <c r="J200" s="232">
        <v>123456.62</v>
      </c>
      <c r="K200" s="232">
        <v>61691.32</v>
      </c>
      <c r="L200" s="232">
        <v>-80799.100000000006</v>
      </c>
      <c r="M200" s="232"/>
      <c r="N200" s="425">
        <f>Paramètres!$K$20/(Données!$H$302+Données!$I$302)*(Données!H200+Données!I200)</f>
        <v>7213.6513612923536</v>
      </c>
      <c r="O200" s="232">
        <v>453358.2</v>
      </c>
      <c r="P200" s="232">
        <v>70417.009999999995</v>
      </c>
      <c r="Q200" s="232">
        <v>12203.05</v>
      </c>
      <c r="R200" s="232">
        <v>-112953.4</v>
      </c>
      <c r="S200" s="232">
        <v>232190.65</v>
      </c>
      <c r="T200" s="232">
        <v>17062.599999999999</v>
      </c>
      <c r="U200" s="232">
        <v>385512.25</v>
      </c>
      <c r="V200" s="232">
        <v>23219.7</v>
      </c>
      <c r="W200" s="233">
        <f t="shared" si="2"/>
        <v>8692292.4613612927</v>
      </c>
      <c r="X200" s="232">
        <v>584</v>
      </c>
      <c r="Y200" s="232">
        <v>0</v>
      </c>
      <c r="Z200" s="234">
        <v>7.0000000000000007E-2</v>
      </c>
      <c r="AA200" s="232">
        <v>146</v>
      </c>
      <c r="AB200" s="232">
        <v>74</v>
      </c>
      <c r="AC200" s="232" t="s">
        <v>566</v>
      </c>
      <c r="AD200" s="232" t="s">
        <v>566</v>
      </c>
      <c r="AE200" s="430">
        <v>0</v>
      </c>
    </row>
    <row r="201" spans="1:31" x14ac:dyDescent="0.25">
      <c r="A201" s="108">
        <v>5731</v>
      </c>
      <c r="B201" s="226" t="s">
        <v>293</v>
      </c>
      <c r="C201" s="368">
        <v>1374</v>
      </c>
      <c r="D201" s="371">
        <v>69</v>
      </c>
      <c r="E201" s="235">
        <v>1.5</v>
      </c>
      <c r="F201" s="231">
        <v>3772921.99</v>
      </c>
      <c r="G201" s="232">
        <v>529482.02</v>
      </c>
      <c r="H201" s="232">
        <v>10476.1</v>
      </c>
      <c r="I201" s="232">
        <v>4779.1499999999996</v>
      </c>
      <c r="J201" s="232">
        <v>0</v>
      </c>
      <c r="K201" s="232">
        <v>13649.46</v>
      </c>
      <c r="L201" s="232">
        <v>-30786.15</v>
      </c>
      <c r="M201" s="232"/>
      <c r="N201" s="425">
        <f>Paramètres!$K$20/(Données!$H$302+Données!$I$302)*(Données!H201+Données!I201)</f>
        <v>1450.4258174421796</v>
      </c>
      <c r="O201" s="232">
        <v>479792.15</v>
      </c>
      <c r="P201" s="232">
        <v>50336.49</v>
      </c>
      <c r="Q201" s="232">
        <v>5779.6</v>
      </c>
      <c r="R201" s="232">
        <v>-8445.0499999999993</v>
      </c>
      <c r="S201" s="232">
        <v>199953.05</v>
      </c>
      <c r="T201" s="232">
        <v>0</v>
      </c>
      <c r="U201" s="232">
        <v>239697.6</v>
      </c>
      <c r="V201" s="232">
        <v>32606.35</v>
      </c>
      <c r="W201" s="233">
        <f t="shared" ref="W201:W264" si="3">SUM(F201:V201)</f>
        <v>5301693.185817441</v>
      </c>
      <c r="X201" s="232">
        <v>313</v>
      </c>
      <c r="Y201" s="232">
        <v>1370</v>
      </c>
      <c r="Z201" s="234">
        <v>0.13500000000000001</v>
      </c>
      <c r="AA201" s="232">
        <v>151</v>
      </c>
      <c r="AB201" s="232">
        <v>47</v>
      </c>
      <c r="AC201" s="232" t="s">
        <v>566</v>
      </c>
      <c r="AD201" s="232" t="s">
        <v>566</v>
      </c>
      <c r="AE201" s="430">
        <v>0</v>
      </c>
    </row>
    <row r="202" spans="1:31" x14ac:dyDescent="0.25">
      <c r="A202" s="108">
        <v>5732</v>
      </c>
      <c r="B202" s="226" t="s">
        <v>294</v>
      </c>
      <c r="C202" s="368">
        <v>1174</v>
      </c>
      <c r="D202" s="371">
        <v>63</v>
      </c>
      <c r="E202" s="235">
        <v>1</v>
      </c>
      <c r="F202" s="231">
        <v>4296382.3099999996</v>
      </c>
      <c r="G202" s="232">
        <v>1056751.54</v>
      </c>
      <c r="H202" s="232">
        <v>211136.6</v>
      </c>
      <c r="I202" s="232">
        <v>10828.65</v>
      </c>
      <c r="J202" s="232">
        <v>0</v>
      </c>
      <c r="K202" s="232">
        <v>13292.59</v>
      </c>
      <c r="L202" s="232">
        <v>-51891.97</v>
      </c>
      <c r="M202" s="232"/>
      <c r="N202" s="425">
        <f>Paramètres!$K$20/(Données!$H$302+Données!$I$302)*(Données!H202+Données!I202)</f>
        <v>21103.825186411741</v>
      </c>
      <c r="O202" s="232">
        <v>410777.65</v>
      </c>
      <c r="P202" s="232">
        <v>-16056.31</v>
      </c>
      <c r="Q202" s="232">
        <v>28322.799999999999</v>
      </c>
      <c r="R202" s="232">
        <v>-15261.24</v>
      </c>
      <c r="S202" s="232">
        <v>185891.8</v>
      </c>
      <c r="T202" s="232">
        <v>17199</v>
      </c>
      <c r="U202" s="232">
        <v>156372.45000000001</v>
      </c>
      <c r="V202" s="232">
        <v>147525.4</v>
      </c>
      <c r="W202" s="233">
        <f t="shared" si="3"/>
        <v>6472375.0951864123</v>
      </c>
      <c r="X202" s="232">
        <v>152</v>
      </c>
      <c r="Y202" s="232">
        <v>0</v>
      </c>
      <c r="Z202" s="234">
        <v>0.108</v>
      </c>
      <c r="AA202" s="232">
        <v>133</v>
      </c>
      <c r="AB202" s="232">
        <v>19</v>
      </c>
      <c r="AC202" s="232" t="s">
        <v>566</v>
      </c>
      <c r="AD202" s="232" t="s">
        <v>566</v>
      </c>
      <c r="AE202" s="430">
        <v>0</v>
      </c>
    </row>
    <row r="203" spans="1:31" x14ac:dyDescent="0.25">
      <c r="A203" s="108">
        <v>5741</v>
      </c>
      <c r="B203" s="226" t="s">
        <v>295</v>
      </c>
      <c r="C203" s="368">
        <v>267</v>
      </c>
      <c r="D203" s="371">
        <v>80</v>
      </c>
      <c r="E203" s="235">
        <v>1.2</v>
      </c>
      <c r="F203" s="231">
        <v>542775.18999999994</v>
      </c>
      <c r="G203" s="232">
        <v>105964.91</v>
      </c>
      <c r="H203" s="232">
        <v>3203.5</v>
      </c>
      <c r="I203" s="232">
        <v>1911.85</v>
      </c>
      <c r="J203" s="232">
        <v>0</v>
      </c>
      <c r="K203" s="232">
        <v>8220.32</v>
      </c>
      <c r="L203" s="232">
        <v>-24410.13</v>
      </c>
      <c r="M203" s="232"/>
      <c r="N203" s="425">
        <f>Paramètres!$K$20/(Données!$H$302+Données!$I$302)*(Données!H203+Données!I203)</f>
        <v>486.35294113520609</v>
      </c>
      <c r="O203" s="232">
        <v>57101.45</v>
      </c>
      <c r="P203" s="232">
        <v>7528.59</v>
      </c>
      <c r="Q203" s="232">
        <v>0</v>
      </c>
      <c r="R203" s="232">
        <v>-60.75</v>
      </c>
      <c r="S203" s="232">
        <v>26323.45</v>
      </c>
      <c r="T203" s="232">
        <v>3.5</v>
      </c>
      <c r="U203" s="232">
        <v>26935.5</v>
      </c>
      <c r="V203" s="232">
        <v>12588.45</v>
      </c>
      <c r="W203" s="233">
        <f t="shared" si="3"/>
        <v>768572.1829411349</v>
      </c>
      <c r="X203" s="232">
        <v>581</v>
      </c>
      <c r="Y203" s="232">
        <v>25</v>
      </c>
      <c r="Z203" s="234">
        <v>0.30199999999999999</v>
      </c>
      <c r="AA203" s="232">
        <v>26</v>
      </c>
      <c r="AB203" s="232">
        <v>26</v>
      </c>
      <c r="AC203" s="232" t="s">
        <v>566</v>
      </c>
      <c r="AD203" s="232" t="s">
        <v>566</v>
      </c>
      <c r="AE203" s="430">
        <v>0</v>
      </c>
    </row>
    <row r="204" spans="1:31" x14ac:dyDescent="0.25">
      <c r="A204" s="108">
        <v>5742</v>
      </c>
      <c r="B204" s="226" t="s">
        <v>296</v>
      </c>
      <c r="C204" s="368">
        <v>382</v>
      </c>
      <c r="D204" s="371">
        <v>76</v>
      </c>
      <c r="E204" s="235">
        <v>0.5</v>
      </c>
      <c r="F204" s="231">
        <v>721673.14</v>
      </c>
      <c r="G204" s="232">
        <v>60951.87</v>
      </c>
      <c r="H204" s="232">
        <v>21335.55</v>
      </c>
      <c r="I204" s="232">
        <v>2190</v>
      </c>
      <c r="J204" s="232">
        <v>0</v>
      </c>
      <c r="K204" s="232">
        <v>0</v>
      </c>
      <c r="L204" s="232">
        <v>-11049.67</v>
      </c>
      <c r="M204" s="232"/>
      <c r="N204" s="425">
        <f>Paramètres!$K$20/(Données!$H$302+Données!$I$302)*(Données!H204+Données!I204)</f>
        <v>2236.7424388015183</v>
      </c>
      <c r="O204" s="232">
        <v>30451.85</v>
      </c>
      <c r="P204" s="232">
        <v>12843.59</v>
      </c>
      <c r="Q204" s="232">
        <v>1672.3</v>
      </c>
      <c r="R204" s="232">
        <v>-141.69999999999999</v>
      </c>
      <c r="S204" s="232">
        <v>7150</v>
      </c>
      <c r="T204" s="232">
        <v>9638.7000000000007</v>
      </c>
      <c r="U204" s="232">
        <v>42649.25</v>
      </c>
      <c r="V204" s="232">
        <v>1214.9000000000001</v>
      </c>
      <c r="W204" s="233">
        <f t="shared" si="3"/>
        <v>902816.52243880159</v>
      </c>
      <c r="X204" s="232">
        <v>543</v>
      </c>
      <c r="Y204" s="232">
        <v>0</v>
      </c>
      <c r="Z204" s="234">
        <v>7.0999999999999994E-2</v>
      </c>
      <c r="AA204" s="232">
        <v>61</v>
      </c>
      <c r="AB204" s="232">
        <v>31</v>
      </c>
      <c r="AC204" s="232" t="s">
        <v>566</v>
      </c>
      <c r="AD204" s="232" t="s">
        <v>566</v>
      </c>
      <c r="AE204" s="430">
        <v>0</v>
      </c>
    </row>
    <row r="205" spans="1:31" x14ac:dyDescent="0.25">
      <c r="A205" s="108">
        <v>5743</v>
      </c>
      <c r="B205" s="226" t="s">
        <v>297</v>
      </c>
      <c r="C205" s="368">
        <v>698</v>
      </c>
      <c r="D205" s="371">
        <v>71</v>
      </c>
      <c r="E205" s="235">
        <v>0.8</v>
      </c>
      <c r="F205" s="231">
        <v>1049175.29</v>
      </c>
      <c r="G205" s="232">
        <v>148616.70000000001</v>
      </c>
      <c r="H205" s="232">
        <v>18998.400000000001</v>
      </c>
      <c r="I205" s="232">
        <v>1450.1</v>
      </c>
      <c r="J205" s="232">
        <v>0</v>
      </c>
      <c r="K205" s="232">
        <v>0</v>
      </c>
      <c r="L205" s="232">
        <v>-14424.83</v>
      </c>
      <c r="M205" s="232"/>
      <c r="N205" s="425">
        <f>Paramètres!$K$20/(Données!$H$302+Données!$I$302)*(Données!H205+Données!I205)</f>
        <v>1944.1852692002037</v>
      </c>
      <c r="O205" s="232">
        <v>82482.899999999994</v>
      </c>
      <c r="P205" s="232">
        <v>12108.61</v>
      </c>
      <c r="Q205" s="232">
        <v>0</v>
      </c>
      <c r="R205" s="232">
        <v>-119.6</v>
      </c>
      <c r="S205" s="232">
        <v>21399.55</v>
      </c>
      <c r="T205" s="232">
        <v>0</v>
      </c>
      <c r="U205" s="232">
        <v>13205.85</v>
      </c>
      <c r="V205" s="232">
        <v>27638.6</v>
      </c>
      <c r="W205" s="233">
        <f t="shared" si="3"/>
        <v>1362475.7552692003</v>
      </c>
      <c r="X205" s="232">
        <v>756</v>
      </c>
      <c r="Y205" s="232">
        <v>0</v>
      </c>
      <c r="Z205" s="234">
        <v>5.1999999999999998E-2</v>
      </c>
      <c r="AA205" s="232">
        <v>91</v>
      </c>
      <c r="AB205" s="232">
        <v>50</v>
      </c>
      <c r="AC205" s="232" t="s">
        <v>566</v>
      </c>
      <c r="AD205" s="232" t="s">
        <v>566</v>
      </c>
      <c r="AE205" s="430">
        <v>0</v>
      </c>
    </row>
    <row r="206" spans="1:31" x14ac:dyDescent="0.25">
      <c r="A206" s="108">
        <v>5744</v>
      </c>
      <c r="B206" s="226" t="s">
        <v>298</v>
      </c>
      <c r="C206" s="368">
        <v>1217</v>
      </c>
      <c r="D206" s="371">
        <v>65</v>
      </c>
      <c r="E206" s="235">
        <v>1</v>
      </c>
      <c r="F206" s="231">
        <v>1397737.95</v>
      </c>
      <c r="G206" s="232">
        <v>223522.51</v>
      </c>
      <c r="H206" s="232">
        <v>1538494.45</v>
      </c>
      <c r="I206" s="232">
        <v>12026.15</v>
      </c>
      <c r="J206" s="232">
        <v>0</v>
      </c>
      <c r="K206" s="232">
        <v>16001.13</v>
      </c>
      <c r="L206" s="232">
        <v>-22446.720000000001</v>
      </c>
      <c r="M206" s="232"/>
      <c r="N206" s="425">
        <f>Paramètres!$K$20/(Données!$H$302+Données!$I$302)*(Données!H206+Données!I206)</f>
        <v>147419.09235941322</v>
      </c>
      <c r="O206" s="232">
        <v>208066.15</v>
      </c>
      <c r="P206" s="232">
        <v>69072.89</v>
      </c>
      <c r="Q206" s="232">
        <v>0</v>
      </c>
      <c r="R206" s="232">
        <v>-2119.3000000000002</v>
      </c>
      <c r="S206" s="232">
        <v>95391.35</v>
      </c>
      <c r="T206" s="232">
        <v>0</v>
      </c>
      <c r="U206" s="232">
        <v>53171</v>
      </c>
      <c r="V206" s="232">
        <v>1033265.45</v>
      </c>
      <c r="W206" s="233">
        <f t="shared" si="3"/>
        <v>4769602.1023594132</v>
      </c>
      <c r="X206" s="232">
        <v>902</v>
      </c>
      <c r="Y206" s="232">
        <v>1217</v>
      </c>
      <c r="Z206" s="234">
        <v>0.23899999999999999</v>
      </c>
      <c r="AA206" s="232">
        <v>142</v>
      </c>
      <c r="AB206" s="232">
        <v>61</v>
      </c>
      <c r="AC206" s="232" t="s">
        <v>566</v>
      </c>
      <c r="AD206" s="232" t="s">
        <v>566</v>
      </c>
      <c r="AE206" s="430">
        <v>0</v>
      </c>
    </row>
    <row r="207" spans="1:31" x14ac:dyDescent="0.25">
      <c r="A207" s="108">
        <v>5745</v>
      </c>
      <c r="B207" s="226" t="s">
        <v>299</v>
      </c>
      <c r="C207" s="368">
        <v>1189</v>
      </c>
      <c r="D207" s="371">
        <v>76.5</v>
      </c>
      <c r="E207" s="235">
        <v>1</v>
      </c>
      <c r="F207" s="231">
        <v>1844408.99</v>
      </c>
      <c r="G207" s="232">
        <v>226486.85</v>
      </c>
      <c r="H207" s="232">
        <v>44222.6</v>
      </c>
      <c r="I207" s="232">
        <v>4034.25</v>
      </c>
      <c r="J207" s="232">
        <v>0</v>
      </c>
      <c r="K207" s="232">
        <v>7941.54</v>
      </c>
      <c r="L207" s="232">
        <v>-15180.01</v>
      </c>
      <c r="M207" s="232"/>
      <c r="N207" s="425">
        <f>Paramètres!$K$20/(Données!$H$302+Données!$I$302)*(Données!H207+Données!I207)</f>
        <v>4588.1241610877987</v>
      </c>
      <c r="O207" s="232">
        <v>169266.05</v>
      </c>
      <c r="P207" s="232">
        <v>32633.47</v>
      </c>
      <c r="Q207" s="232">
        <v>0</v>
      </c>
      <c r="R207" s="232">
        <v>-654.54999999999995</v>
      </c>
      <c r="S207" s="232">
        <v>48196.6</v>
      </c>
      <c r="T207" s="232">
        <v>0</v>
      </c>
      <c r="U207" s="232">
        <v>48493.2</v>
      </c>
      <c r="V207" s="232">
        <v>245278.85</v>
      </c>
      <c r="W207" s="233">
        <f t="shared" si="3"/>
        <v>2659715.9641610887</v>
      </c>
      <c r="X207" s="232">
        <v>2229</v>
      </c>
      <c r="Y207" s="232">
        <v>1</v>
      </c>
      <c r="Z207" s="234">
        <v>0.42499999999999999</v>
      </c>
      <c r="AA207" s="232">
        <v>133</v>
      </c>
      <c r="AB207" s="232">
        <v>30</v>
      </c>
      <c r="AC207" s="232" t="s">
        <v>566</v>
      </c>
      <c r="AD207" s="232" t="s">
        <v>566</v>
      </c>
      <c r="AE207" s="430">
        <v>0</v>
      </c>
    </row>
    <row r="208" spans="1:31" x14ac:dyDescent="0.25">
      <c r="A208" s="108">
        <v>5746</v>
      </c>
      <c r="B208" s="226" t="s">
        <v>300</v>
      </c>
      <c r="C208" s="368">
        <v>1055</v>
      </c>
      <c r="D208" s="371">
        <v>72</v>
      </c>
      <c r="E208" s="235">
        <v>1.2</v>
      </c>
      <c r="F208" s="231">
        <v>2129057.48</v>
      </c>
      <c r="G208" s="232">
        <v>238125.74</v>
      </c>
      <c r="H208" s="232">
        <v>43873.599999999999</v>
      </c>
      <c r="I208" s="232">
        <v>3498.7</v>
      </c>
      <c r="J208" s="232">
        <v>0</v>
      </c>
      <c r="K208" s="232">
        <v>7457.03</v>
      </c>
      <c r="L208" s="232">
        <v>-12768.19</v>
      </c>
      <c r="M208" s="232"/>
      <c r="N208" s="425">
        <f>Paramètres!$K$20/(Données!$H$302+Données!$I$302)*(Données!H208+Données!I208)</f>
        <v>4504.0236608129107</v>
      </c>
      <c r="O208" s="232">
        <v>262860.7</v>
      </c>
      <c r="P208" s="232">
        <v>24335.84</v>
      </c>
      <c r="Q208" s="232">
        <v>20976</v>
      </c>
      <c r="R208" s="232">
        <v>-134.1</v>
      </c>
      <c r="S208" s="232">
        <v>186052.05</v>
      </c>
      <c r="T208" s="232">
        <v>35566.300000000003</v>
      </c>
      <c r="U208" s="232">
        <v>89012.7</v>
      </c>
      <c r="V208" s="232">
        <v>23221.9</v>
      </c>
      <c r="W208" s="233">
        <f t="shared" si="3"/>
        <v>3055639.7736608125</v>
      </c>
      <c r="X208" s="232">
        <v>923</v>
      </c>
      <c r="Y208" s="232">
        <v>0</v>
      </c>
      <c r="Z208" s="234">
        <v>6.3E-2</v>
      </c>
      <c r="AA208" s="232">
        <v>125</v>
      </c>
      <c r="AB208" s="232">
        <v>68</v>
      </c>
      <c r="AC208" s="232" t="s">
        <v>566</v>
      </c>
      <c r="AD208" s="232" t="s">
        <v>566</v>
      </c>
      <c r="AE208" s="430">
        <v>0</v>
      </c>
    </row>
    <row r="209" spans="1:31" x14ac:dyDescent="0.25">
      <c r="A209" s="108">
        <v>5747</v>
      </c>
      <c r="B209" s="226" t="s">
        <v>301</v>
      </c>
      <c r="C209" s="368">
        <v>201</v>
      </c>
      <c r="D209" s="371">
        <v>69</v>
      </c>
      <c r="E209" s="235">
        <v>1</v>
      </c>
      <c r="F209" s="231">
        <v>339794.76</v>
      </c>
      <c r="G209" s="232">
        <v>58690.11</v>
      </c>
      <c r="H209" s="232">
        <v>30776.9</v>
      </c>
      <c r="I209" s="232">
        <v>1183.2</v>
      </c>
      <c r="J209" s="232">
        <v>0</v>
      </c>
      <c r="K209" s="232">
        <v>0</v>
      </c>
      <c r="L209" s="232">
        <v>-445.55</v>
      </c>
      <c r="M209" s="232"/>
      <c r="N209" s="425">
        <f>Paramètres!$K$20/(Données!$H$302+Données!$I$302)*(Données!H209+Données!I209)</f>
        <v>3038.6754833931795</v>
      </c>
      <c r="O209" s="232">
        <v>35908.9</v>
      </c>
      <c r="P209" s="232">
        <v>8.5</v>
      </c>
      <c r="Q209" s="232">
        <v>0</v>
      </c>
      <c r="R209" s="232">
        <v>-16.2</v>
      </c>
      <c r="S209" s="232">
        <v>0</v>
      </c>
      <c r="T209" s="232">
        <v>213725.1</v>
      </c>
      <c r="U209" s="232">
        <v>-2266.15</v>
      </c>
      <c r="V209" s="232">
        <v>1328.9</v>
      </c>
      <c r="W209" s="233">
        <f t="shared" si="3"/>
        <v>681727.14548339322</v>
      </c>
      <c r="X209" s="232">
        <v>416</v>
      </c>
      <c r="Y209" s="232">
        <v>0</v>
      </c>
      <c r="Z209" s="234">
        <v>2.1000000000000001E-2</v>
      </c>
      <c r="AA209" s="232">
        <v>24</v>
      </c>
      <c r="AB209" s="232">
        <v>24</v>
      </c>
      <c r="AC209" s="232" t="s">
        <v>566</v>
      </c>
      <c r="AD209" s="232" t="s">
        <v>566</v>
      </c>
      <c r="AE209" s="430">
        <v>0</v>
      </c>
    </row>
    <row r="210" spans="1:31" x14ac:dyDescent="0.25">
      <c r="A210" s="108">
        <v>5748</v>
      </c>
      <c r="B210" s="226" t="s">
        <v>302</v>
      </c>
      <c r="C210" s="368">
        <v>265</v>
      </c>
      <c r="D210" s="371">
        <v>69</v>
      </c>
      <c r="E210" s="235">
        <v>0.6</v>
      </c>
      <c r="F210" s="231">
        <v>361914.12</v>
      </c>
      <c r="G210" s="232">
        <v>41454.69</v>
      </c>
      <c r="H210" s="232">
        <v>2852.95</v>
      </c>
      <c r="I210" s="232">
        <v>1237.05</v>
      </c>
      <c r="J210" s="232">
        <v>0</v>
      </c>
      <c r="K210" s="232">
        <v>0</v>
      </c>
      <c r="L210" s="232">
        <v>-91.04</v>
      </c>
      <c r="M210" s="232"/>
      <c r="N210" s="425">
        <f>Paramètres!$K$20/(Données!$H$302+Données!$I$302)*(Données!H210+Données!I210)</f>
        <v>388.86557698749704</v>
      </c>
      <c r="O210" s="232">
        <v>25009.25</v>
      </c>
      <c r="P210" s="232">
        <v>-178.72</v>
      </c>
      <c r="Q210" s="232">
        <v>0</v>
      </c>
      <c r="R210" s="232">
        <v>0</v>
      </c>
      <c r="S210" s="232">
        <v>54136.3</v>
      </c>
      <c r="T210" s="232">
        <v>0</v>
      </c>
      <c r="U210" s="232">
        <v>28645.5</v>
      </c>
      <c r="V210" s="232">
        <v>11898.7</v>
      </c>
      <c r="W210" s="233">
        <f t="shared" si="3"/>
        <v>527267.66557698755</v>
      </c>
      <c r="X210" s="232">
        <v>548</v>
      </c>
      <c r="Y210" s="232">
        <v>1</v>
      </c>
      <c r="Z210" s="234">
        <v>0.13</v>
      </c>
      <c r="AA210" s="232">
        <v>43</v>
      </c>
      <c r="AB210" s="232">
        <v>43</v>
      </c>
      <c r="AC210" s="232" t="s">
        <v>566</v>
      </c>
      <c r="AD210" s="232" t="s">
        <v>566</v>
      </c>
      <c r="AE210" s="430">
        <v>0</v>
      </c>
    </row>
    <row r="211" spans="1:31" x14ac:dyDescent="0.25">
      <c r="A211" s="108">
        <v>5749</v>
      </c>
      <c r="B211" s="226" t="s">
        <v>303</v>
      </c>
      <c r="C211" s="368">
        <v>5374</v>
      </c>
      <c r="D211" s="371">
        <v>70.5</v>
      </c>
      <c r="E211" s="235">
        <v>1</v>
      </c>
      <c r="F211" s="231">
        <v>8982384.0099999998</v>
      </c>
      <c r="G211" s="232">
        <v>939432.2</v>
      </c>
      <c r="H211" s="232">
        <v>352340.16</v>
      </c>
      <c r="I211" s="232">
        <v>29055.05</v>
      </c>
      <c r="J211" s="232">
        <v>0</v>
      </c>
      <c r="K211" s="232">
        <v>46990.74</v>
      </c>
      <c r="L211" s="232">
        <v>-228735.24</v>
      </c>
      <c r="M211" s="232"/>
      <c r="N211" s="425">
        <f>Paramètres!$K$20/(Données!$H$302+Données!$I$302)*(Données!H211+Données!I211)</f>
        <v>36261.972713182782</v>
      </c>
      <c r="O211" s="232">
        <v>945221.05</v>
      </c>
      <c r="P211" s="232">
        <v>242556.39</v>
      </c>
      <c r="Q211" s="232">
        <v>42165.599999999999</v>
      </c>
      <c r="R211" s="232">
        <v>-8517.5</v>
      </c>
      <c r="S211" s="232">
        <v>560211.19999999995</v>
      </c>
      <c r="T211" s="232">
        <v>36401.599999999999</v>
      </c>
      <c r="U211" s="232">
        <v>453501.5</v>
      </c>
      <c r="V211" s="232">
        <v>863932.8</v>
      </c>
      <c r="W211" s="233">
        <f t="shared" si="3"/>
        <v>13293201.532713184</v>
      </c>
      <c r="X211" s="232">
        <v>1880</v>
      </c>
      <c r="Y211" s="232">
        <v>0</v>
      </c>
      <c r="Z211" s="234">
        <v>4.2999999999999997E-2</v>
      </c>
      <c r="AA211" s="232">
        <v>712</v>
      </c>
      <c r="AB211" s="232">
        <v>111</v>
      </c>
      <c r="AC211" s="232" t="s">
        <v>566</v>
      </c>
      <c r="AD211" s="232" t="s">
        <v>566</v>
      </c>
      <c r="AE211" s="430">
        <v>0</v>
      </c>
    </row>
    <row r="212" spans="1:31" x14ac:dyDescent="0.25">
      <c r="A212" s="108">
        <v>5750</v>
      </c>
      <c r="B212" s="226" t="s">
        <v>304</v>
      </c>
      <c r="C212" s="368">
        <v>195</v>
      </c>
      <c r="D212" s="371">
        <v>80</v>
      </c>
      <c r="E212" s="235">
        <v>0.6</v>
      </c>
      <c r="F212" s="231">
        <v>411681.76</v>
      </c>
      <c r="G212" s="232">
        <v>69051.259999999995</v>
      </c>
      <c r="H212" s="232">
        <v>1022.8</v>
      </c>
      <c r="I212" s="232">
        <v>678.7</v>
      </c>
      <c r="J212" s="232">
        <v>0</v>
      </c>
      <c r="K212" s="232">
        <v>0</v>
      </c>
      <c r="L212" s="232">
        <v>3251.94</v>
      </c>
      <c r="M212" s="232"/>
      <c r="N212" s="425">
        <f>Paramètres!$K$20/(Données!$H$302+Données!$I$302)*(Données!H212+Données!I212)</f>
        <v>161.77378465629002</v>
      </c>
      <c r="O212" s="232">
        <v>15498.95</v>
      </c>
      <c r="P212" s="232">
        <v>1081.68</v>
      </c>
      <c r="Q212" s="232">
        <v>4.4000000000000004</v>
      </c>
      <c r="R212" s="232">
        <v>-461.25</v>
      </c>
      <c r="S212" s="232">
        <v>6638.55</v>
      </c>
      <c r="T212" s="232">
        <v>0</v>
      </c>
      <c r="U212" s="232">
        <v>8244.9</v>
      </c>
      <c r="V212" s="232">
        <v>6434.15</v>
      </c>
      <c r="W212" s="233">
        <f t="shared" si="3"/>
        <v>523289.61378465639</v>
      </c>
      <c r="X212" s="232">
        <v>692</v>
      </c>
      <c r="Y212" s="232">
        <v>0</v>
      </c>
      <c r="Z212" s="234">
        <v>0.35199999999999998</v>
      </c>
      <c r="AA212" s="232">
        <v>23</v>
      </c>
      <c r="AB212" s="232">
        <v>23</v>
      </c>
      <c r="AC212" s="232" t="s">
        <v>566</v>
      </c>
      <c r="AD212" s="232" t="s">
        <v>566</v>
      </c>
      <c r="AE212" s="430">
        <v>0</v>
      </c>
    </row>
    <row r="213" spans="1:31" x14ac:dyDescent="0.25">
      <c r="A213" s="108">
        <v>5752</v>
      </c>
      <c r="B213" s="226" t="s">
        <v>305</v>
      </c>
      <c r="C213" s="368">
        <v>408</v>
      </c>
      <c r="D213" s="371">
        <v>74</v>
      </c>
      <c r="E213" s="235">
        <v>0.7</v>
      </c>
      <c r="F213" s="231">
        <v>686649.73</v>
      </c>
      <c r="G213" s="232">
        <v>189966.11</v>
      </c>
      <c r="H213" s="232">
        <v>1790.2</v>
      </c>
      <c r="I213" s="232">
        <v>1876</v>
      </c>
      <c r="J213" s="232">
        <v>0</v>
      </c>
      <c r="K213" s="232">
        <v>0</v>
      </c>
      <c r="L213" s="232">
        <v>-3958.51</v>
      </c>
      <c r="M213" s="232"/>
      <c r="N213" s="425">
        <f>Paramètres!$K$20/(Données!$H$302+Données!$I$302)*(Données!H213+Données!I213)</f>
        <v>348.57187734757002</v>
      </c>
      <c r="O213" s="232">
        <v>44974</v>
      </c>
      <c r="P213" s="232">
        <v>12188.99</v>
      </c>
      <c r="Q213" s="232">
        <v>1379.4</v>
      </c>
      <c r="R213" s="232">
        <v>-2758.15</v>
      </c>
      <c r="S213" s="232">
        <v>15586.9</v>
      </c>
      <c r="T213" s="232">
        <v>0</v>
      </c>
      <c r="U213" s="232">
        <v>16623.7</v>
      </c>
      <c r="V213" s="232">
        <v>57352.6</v>
      </c>
      <c r="W213" s="233">
        <f t="shared" si="3"/>
        <v>1022019.5418773474</v>
      </c>
      <c r="X213" s="232">
        <v>451</v>
      </c>
      <c r="Y213" s="232">
        <v>0</v>
      </c>
      <c r="Z213" s="234">
        <v>0.13500000000000001</v>
      </c>
      <c r="AA213" s="232">
        <v>42</v>
      </c>
      <c r="AB213" s="232">
        <v>35</v>
      </c>
      <c r="AC213" s="232" t="s">
        <v>566</v>
      </c>
      <c r="AD213" s="232" t="s">
        <v>566</v>
      </c>
      <c r="AE213" s="430">
        <v>0</v>
      </c>
    </row>
    <row r="214" spans="1:31" x14ac:dyDescent="0.25">
      <c r="A214" s="108">
        <v>5754</v>
      </c>
      <c r="B214" s="226" t="s">
        <v>306</v>
      </c>
      <c r="C214" s="368">
        <v>345</v>
      </c>
      <c r="D214" s="371">
        <v>79</v>
      </c>
      <c r="E214" s="235">
        <v>1</v>
      </c>
      <c r="F214" s="231">
        <v>585137.49</v>
      </c>
      <c r="G214" s="232">
        <v>83376.490000000005</v>
      </c>
      <c r="H214" s="232">
        <v>2336.85</v>
      </c>
      <c r="I214" s="232">
        <v>2095.9</v>
      </c>
      <c r="J214" s="232">
        <v>0</v>
      </c>
      <c r="K214" s="232">
        <v>0</v>
      </c>
      <c r="L214" s="232">
        <v>-7779.85</v>
      </c>
      <c r="M214" s="232"/>
      <c r="N214" s="425">
        <f>Paramètres!$K$20/(Données!$H$302+Données!$I$302)*(Données!H214+Données!I214)</f>
        <v>421.45327295631478</v>
      </c>
      <c r="O214" s="232">
        <v>49665.8</v>
      </c>
      <c r="P214" s="232">
        <v>4314.1499999999996</v>
      </c>
      <c r="Q214" s="232">
        <v>2096.5</v>
      </c>
      <c r="R214" s="232">
        <v>0</v>
      </c>
      <c r="S214" s="232">
        <v>33011</v>
      </c>
      <c r="T214" s="232">
        <v>19.2</v>
      </c>
      <c r="U214" s="232">
        <v>22654.35</v>
      </c>
      <c r="V214" s="232">
        <v>10878.25</v>
      </c>
      <c r="W214" s="233">
        <f t="shared" si="3"/>
        <v>788227.58327295631</v>
      </c>
      <c r="X214" s="232">
        <v>932</v>
      </c>
      <c r="Y214" s="232">
        <v>345</v>
      </c>
      <c r="Z214" s="234">
        <v>0.152</v>
      </c>
      <c r="AA214" s="232">
        <v>37</v>
      </c>
      <c r="AB214" s="232">
        <v>27</v>
      </c>
      <c r="AC214" s="232" t="s">
        <v>566</v>
      </c>
      <c r="AD214" s="232" t="s">
        <v>566</v>
      </c>
      <c r="AE214" s="430">
        <v>0</v>
      </c>
    </row>
    <row r="215" spans="1:31" x14ac:dyDescent="0.25">
      <c r="A215" s="108">
        <v>5755</v>
      </c>
      <c r="B215" s="226" t="s">
        <v>307</v>
      </c>
      <c r="C215" s="368">
        <v>452</v>
      </c>
      <c r="D215" s="371">
        <v>78.5</v>
      </c>
      <c r="E215" s="235">
        <v>0.7</v>
      </c>
      <c r="F215" s="231">
        <v>621469.35</v>
      </c>
      <c r="G215" s="232">
        <v>80942.33</v>
      </c>
      <c r="H215" s="232">
        <v>22916.85</v>
      </c>
      <c r="I215" s="232">
        <v>215</v>
      </c>
      <c r="J215" s="232">
        <v>0</v>
      </c>
      <c r="K215" s="232">
        <v>0</v>
      </c>
      <c r="L215" s="232">
        <v>-16447.939999999999</v>
      </c>
      <c r="M215" s="232"/>
      <c r="N215" s="425">
        <f>Paramètres!$K$20/(Données!$H$302+Données!$I$302)*(Données!H215+Données!I215)</f>
        <v>2199.3105616230396</v>
      </c>
      <c r="O215" s="232">
        <v>53234.55</v>
      </c>
      <c r="P215" s="232">
        <v>19319.419999999998</v>
      </c>
      <c r="Q215" s="232">
        <v>4315.1000000000004</v>
      </c>
      <c r="R215" s="232">
        <v>0</v>
      </c>
      <c r="S215" s="232">
        <v>61365.55</v>
      </c>
      <c r="T215" s="232">
        <v>6314</v>
      </c>
      <c r="U215" s="232">
        <v>78673.75</v>
      </c>
      <c r="V215" s="232">
        <v>22999.7</v>
      </c>
      <c r="W215" s="233">
        <f t="shared" si="3"/>
        <v>957516.97056162311</v>
      </c>
      <c r="X215" s="232">
        <v>1060</v>
      </c>
      <c r="Y215" s="232">
        <v>452</v>
      </c>
      <c r="Z215" s="234">
        <v>0.25800000000000001</v>
      </c>
      <c r="AA215" s="232">
        <v>65</v>
      </c>
      <c r="AB215" s="232">
        <v>65</v>
      </c>
      <c r="AC215" s="232" t="s">
        <v>566</v>
      </c>
      <c r="AD215" s="232" t="s">
        <v>566</v>
      </c>
      <c r="AE215" s="430">
        <v>0</v>
      </c>
    </row>
    <row r="216" spans="1:31" x14ac:dyDescent="0.25">
      <c r="A216" s="108">
        <v>5756</v>
      </c>
      <c r="B216" s="226" t="s">
        <v>308</v>
      </c>
      <c r="C216" s="368">
        <v>494</v>
      </c>
      <c r="D216" s="371">
        <v>72</v>
      </c>
      <c r="E216" s="235">
        <v>1</v>
      </c>
      <c r="F216" s="231">
        <v>1161127.56</v>
      </c>
      <c r="G216" s="232">
        <v>259094.75</v>
      </c>
      <c r="H216" s="232">
        <v>13745.05</v>
      </c>
      <c r="I216" s="232">
        <v>939.85</v>
      </c>
      <c r="J216" s="232">
        <v>0</v>
      </c>
      <c r="K216" s="232">
        <v>2892.54</v>
      </c>
      <c r="L216" s="232">
        <v>-20611.8</v>
      </c>
      <c r="M216" s="232"/>
      <c r="N216" s="425">
        <f>Paramètres!$K$20/(Données!$H$302+Données!$I$302)*(Données!H216+Données!I216)</f>
        <v>1396.1985602698521</v>
      </c>
      <c r="O216" s="232">
        <v>89602.65</v>
      </c>
      <c r="P216" s="232">
        <v>-7186.66</v>
      </c>
      <c r="Q216" s="232">
        <v>212.4</v>
      </c>
      <c r="R216" s="232">
        <v>-3561.25</v>
      </c>
      <c r="S216" s="232">
        <v>11753.35</v>
      </c>
      <c r="T216" s="232">
        <v>0</v>
      </c>
      <c r="U216" s="232">
        <v>20516.099999999999</v>
      </c>
      <c r="V216" s="232">
        <v>2847.55</v>
      </c>
      <c r="W216" s="233">
        <f t="shared" si="3"/>
        <v>1532768.2885602701</v>
      </c>
      <c r="X216" s="232">
        <v>299</v>
      </c>
      <c r="Y216" s="232">
        <v>0</v>
      </c>
      <c r="Z216" s="234">
        <v>0.128</v>
      </c>
      <c r="AA216" s="232">
        <v>60</v>
      </c>
      <c r="AB216" s="232">
        <v>1</v>
      </c>
      <c r="AC216" s="232" t="s">
        <v>566</v>
      </c>
      <c r="AD216" s="232" t="s">
        <v>566</v>
      </c>
      <c r="AE216" s="430">
        <v>0</v>
      </c>
    </row>
    <row r="217" spans="1:31" x14ac:dyDescent="0.25">
      <c r="A217" s="108">
        <v>5757</v>
      </c>
      <c r="B217" s="226" t="s">
        <v>309</v>
      </c>
      <c r="C217" s="368">
        <v>8008</v>
      </c>
      <c r="D217" s="371">
        <v>75.5</v>
      </c>
      <c r="E217" s="235">
        <v>1</v>
      </c>
      <c r="F217" s="231">
        <v>13075796.560000001</v>
      </c>
      <c r="G217" s="232">
        <v>1174370.03</v>
      </c>
      <c r="H217" s="232">
        <v>1492536.05</v>
      </c>
      <c r="I217" s="232">
        <v>122052.9</v>
      </c>
      <c r="J217" s="232">
        <v>0</v>
      </c>
      <c r="K217" s="232">
        <v>190176.05</v>
      </c>
      <c r="L217" s="232">
        <v>-457432.85</v>
      </c>
      <c r="M217" s="232"/>
      <c r="N217" s="425">
        <f>Paramètres!$K$20/(Données!$H$302+Données!$I$302)*(Données!H217+Données!I217)</f>
        <v>153510.52900718508</v>
      </c>
      <c r="O217" s="232">
        <v>1600785.75</v>
      </c>
      <c r="P217" s="232">
        <v>673905.54</v>
      </c>
      <c r="Q217" s="232">
        <v>195063.15</v>
      </c>
      <c r="R217" s="232">
        <v>-3087.4</v>
      </c>
      <c r="S217" s="232">
        <v>683056.85</v>
      </c>
      <c r="T217" s="232">
        <v>27288.3</v>
      </c>
      <c r="U217" s="232">
        <v>191974.2</v>
      </c>
      <c r="V217" s="232">
        <v>3697129.85</v>
      </c>
      <c r="W217" s="233">
        <f t="shared" si="3"/>
        <v>22817125.509007189</v>
      </c>
      <c r="X217" s="232">
        <v>1162</v>
      </c>
      <c r="Y217" s="232">
        <v>0</v>
      </c>
      <c r="Z217" s="234">
        <v>4.4999999999999998E-2</v>
      </c>
      <c r="AA217" s="232">
        <v>1020</v>
      </c>
      <c r="AB217" s="232">
        <v>118</v>
      </c>
      <c r="AC217" s="232">
        <v>343624</v>
      </c>
      <c r="AD217" s="232">
        <v>13294.599999999977</v>
      </c>
      <c r="AE217" s="430">
        <v>0</v>
      </c>
    </row>
    <row r="218" spans="1:31" x14ac:dyDescent="0.25">
      <c r="A218" s="108">
        <v>5758</v>
      </c>
      <c r="B218" s="226" t="s">
        <v>310</v>
      </c>
      <c r="C218" s="368">
        <v>214</v>
      </c>
      <c r="D218" s="371">
        <v>83</v>
      </c>
      <c r="E218" s="235">
        <v>1</v>
      </c>
      <c r="F218" s="231">
        <v>359630.44</v>
      </c>
      <c r="G218" s="232">
        <v>44322.65</v>
      </c>
      <c r="H218" s="232">
        <v>2797.1</v>
      </c>
      <c r="I218" s="232">
        <v>2353</v>
      </c>
      <c r="J218" s="232">
        <v>0</v>
      </c>
      <c r="K218" s="232">
        <v>0</v>
      </c>
      <c r="L218" s="232">
        <v>-3287.9</v>
      </c>
      <c r="M218" s="232"/>
      <c r="N218" s="425">
        <f>Paramètres!$K$20/(Données!$H$302+Données!$I$302)*(Données!H218+Données!I218)</f>
        <v>489.65687238222705</v>
      </c>
      <c r="O218" s="232">
        <v>35098.199999999997</v>
      </c>
      <c r="P218" s="232">
        <v>10130.61</v>
      </c>
      <c r="Q218" s="232">
        <v>0</v>
      </c>
      <c r="R218" s="232">
        <v>-86.95</v>
      </c>
      <c r="S218" s="232">
        <v>11100.3</v>
      </c>
      <c r="T218" s="232">
        <v>0</v>
      </c>
      <c r="U218" s="232">
        <v>26110.3</v>
      </c>
      <c r="V218" s="232">
        <v>0</v>
      </c>
      <c r="W218" s="233">
        <f t="shared" si="3"/>
        <v>488657.40687238215</v>
      </c>
      <c r="X218" s="232">
        <v>511</v>
      </c>
      <c r="Y218" s="232">
        <v>214</v>
      </c>
      <c r="Z218" s="234">
        <v>0.217</v>
      </c>
      <c r="AA218" s="232">
        <v>24</v>
      </c>
      <c r="AB218" s="232">
        <v>24</v>
      </c>
      <c r="AC218" s="232" t="s">
        <v>566</v>
      </c>
      <c r="AD218" s="232" t="s">
        <v>566</v>
      </c>
      <c r="AE218" s="430">
        <v>0</v>
      </c>
    </row>
    <row r="219" spans="1:31" x14ac:dyDescent="0.25">
      <c r="A219" s="108">
        <v>5759</v>
      </c>
      <c r="B219" s="226" t="s">
        <v>311</v>
      </c>
      <c r="C219" s="368">
        <v>233</v>
      </c>
      <c r="D219" s="371">
        <v>79.5</v>
      </c>
      <c r="E219" s="235">
        <v>1</v>
      </c>
      <c r="F219" s="231">
        <v>330460.53999999998</v>
      </c>
      <c r="G219" s="232">
        <v>46618.95</v>
      </c>
      <c r="H219" s="232">
        <v>9036.9500000000007</v>
      </c>
      <c r="I219" s="232">
        <v>1053.1500000000001</v>
      </c>
      <c r="J219" s="232">
        <v>0</v>
      </c>
      <c r="K219" s="232">
        <v>37.67</v>
      </c>
      <c r="L219" s="232">
        <v>-10242.77</v>
      </c>
      <c r="M219" s="232"/>
      <c r="N219" s="425">
        <f>Paramètres!$K$20/(Données!$H$302+Données!$I$302)*(Données!H219+Données!I219)</f>
        <v>959.33803382922827</v>
      </c>
      <c r="O219" s="232">
        <v>35561.699999999997</v>
      </c>
      <c r="P219" s="232">
        <v>3356.5</v>
      </c>
      <c r="Q219" s="232">
        <v>289.45</v>
      </c>
      <c r="R219" s="232">
        <v>-538.6</v>
      </c>
      <c r="S219" s="232">
        <v>13453</v>
      </c>
      <c r="T219" s="232">
        <v>0</v>
      </c>
      <c r="U219" s="232">
        <v>11585.95</v>
      </c>
      <c r="V219" s="232">
        <v>2522.35</v>
      </c>
      <c r="W219" s="233">
        <f t="shared" si="3"/>
        <v>444154.17803382926</v>
      </c>
      <c r="X219" s="232">
        <v>605</v>
      </c>
      <c r="Y219" s="232">
        <v>233</v>
      </c>
      <c r="Z219" s="234">
        <v>0.20899999999999999</v>
      </c>
      <c r="AA219" s="232">
        <v>34</v>
      </c>
      <c r="AB219" s="232">
        <v>34</v>
      </c>
      <c r="AC219" s="232" t="s">
        <v>566</v>
      </c>
      <c r="AD219" s="232" t="s">
        <v>566</v>
      </c>
      <c r="AE219" s="430">
        <v>0</v>
      </c>
    </row>
    <row r="220" spans="1:31" x14ac:dyDescent="0.25">
      <c r="A220" s="108">
        <v>5760</v>
      </c>
      <c r="B220" s="226" t="s">
        <v>312</v>
      </c>
      <c r="C220" s="368">
        <v>513</v>
      </c>
      <c r="D220" s="371">
        <v>76.5</v>
      </c>
      <c r="E220" s="235">
        <v>1</v>
      </c>
      <c r="F220" s="231">
        <v>681135.75</v>
      </c>
      <c r="G220" s="232">
        <v>96599.49</v>
      </c>
      <c r="H220" s="232">
        <v>9063.2999999999993</v>
      </c>
      <c r="I220" s="232">
        <v>3495.3</v>
      </c>
      <c r="J220" s="232">
        <v>0</v>
      </c>
      <c r="K220" s="232">
        <v>8075.08</v>
      </c>
      <c r="L220" s="232">
        <v>-30055.85</v>
      </c>
      <c r="M220" s="232"/>
      <c r="N220" s="425">
        <f>Paramètres!$K$20/(Données!$H$302+Données!$I$302)*(Données!H220+Données!I220)</f>
        <v>1194.0359988154473</v>
      </c>
      <c r="O220" s="232">
        <v>87897.5</v>
      </c>
      <c r="P220" s="232">
        <v>8386.27</v>
      </c>
      <c r="Q220" s="232">
        <v>0</v>
      </c>
      <c r="R220" s="232">
        <v>-1852.45</v>
      </c>
      <c r="S220" s="232">
        <v>10246.6</v>
      </c>
      <c r="T220" s="232">
        <v>3412.8</v>
      </c>
      <c r="U220" s="232">
        <v>6389.35</v>
      </c>
      <c r="V220" s="232">
        <v>30982.5</v>
      </c>
      <c r="W220" s="233">
        <f t="shared" si="3"/>
        <v>914969.67599881557</v>
      </c>
      <c r="X220" s="232">
        <v>982</v>
      </c>
      <c r="Y220" s="232">
        <v>0</v>
      </c>
      <c r="Z220" s="234">
        <v>0.26900000000000002</v>
      </c>
      <c r="AA220" s="232">
        <v>54</v>
      </c>
      <c r="AB220" s="232">
        <v>38</v>
      </c>
      <c r="AC220" s="232" t="s">
        <v>566</v>
      </c>
      <c r="AD220" s="232" t="s">
        <v>566</v>
      </c>
      <c r="AE220" s="430">
        <v>0</v>
      </c>
    </row>
    <row r="221" spans="1:31" x14ac:dyDescent="0.25">
      <c r="A221" s="108">
        <v>5761</v>
      </c>
      <c r="B221" s="226" t="s">
        <v>313</v>
      </c>
      <c r="C221" s="368">
        <v>579</v>
      </c>
      <c r="D221" s="371">
        <v>81</v>
      </c>
      <c r="E221" s="235">
        <v>1.1000000000000001</v>
      </c>
      <c r="F221" s="231">
        <v>852286.25</v>
      </c>
      <c r="G221" s="232">
        <v>151121.44</v>
      </c>
      <c r="H221" s="232">
        <v>8469.65</v>
      </c>
      <c r="I221" s="232">
        <v>2588.5</v>
      </c>
      <c r="J221" s="232">
        <v>0</v>
      </c>
      <c r="K221" s="232">
        <v>0</v>
      </c>
      <c r="L221" s="232">
        <v>-5039.37</v>
      </c>
      <c r="M221" s="232"/>
      <c r="N221" s="425">
        <f>Paramètres!$K$20/(Données!$H$302+Données!$I$302)*(Données!H221+Données!I221)</f>
        <v>1051.3774768127848</v>
      </c>
      <c r="O221" s="232">
        <v>102235.95</v>
      </c>
      <c r="P221" s="232">
        <v>9035.32</v>
      </c>
      <c r="Q221" s="232">
        <v>5328.6</v>
      </c>
      <c r="R221" s="232">
        <v>-41.1</v>
      </c>
      <c r="S221" s="232">
        <v>42933.65</v>
      </c>
      <c r="T221" s="232">
        <v>50250</v>
      </c>
      <c r="U221" s="232">
        <v>28948.400000000001</v>
      </c>
      <c r="V221" s="232">
        <v>87592.5</v>
      </c>
      <c r="W221" s="233">
        <f t="shared" si="3"/>
        <v>1336761.1674768126</v>
      </c>
      <c r="X221" s="232">
        <v>696</v>
      </c>
      <c r="Y221" s="232">
        <v>7</v>
      </c>
      <c r="Z221" s="234">
        <v>0.19400000000000001</v>
      </c>
      <c r="AA221" s="232">
        <v>63</v>
      </c>
      <c r="AB221" s="232">
        <v>52</v>
      </c>
      <c r="AC221" s="232" t="s">
        <v>566</v>
      </c>
      <c r="AD221" s="232" t="s">
        <v>566</v>
      </c>
      <c r="AE221" s="430">
        <v>0</v>
      </c>
    </row>
    <row r="222" spans="1:31" x14ac:dyDescent="0.25">
      <c r="A222" s="108">
        <v>5762</v>
      </c>
      <c r="B222" s="226" t="s">
        <v>314</v>
      </c>
      <c r="C222" s="368">
        <v>165</v>
      </c>
      <c r="D222" s="371">
        <v>76</v>
      </c>
      <c r="E222" s="235">
        <v>1</v>
      </c>
      <c r="F222" s="231">
        <v>294664.75</v>
      </c>
      <c r="G222" s="232">
        <v>37809.49</v>
      </c>
      <c r="H222" s="232">
        <v>20326.3</v>
      </c>
      <c r="I222" s="232">
        <v>1009.4</v>
      </c>
      <c r="J222" s="232">
        <v>0</v>
      </c>
      <c r="K222" s="232">
        <v>2481.52</v>
      </c>
      <c r="L222" s="232">
        <v>-2537.58</v>
      </c>
      <c r="M222" s="232"/>
      <c r="N222" s="425">
        <f>Paramètres!$K$20/(Données!$H$302+Données!$I$302)*(Données!H222+Données!I222)</f>
        <v>2028.5377239442887</v>
      </c>
      <c r="O222" s="232">
        <v>22877.65</v>
      </c>
      <c r="P222" s="232">
        <v>3833.87</v>
      </c>
      <c r="Q222" s="232">
        <v>-41.5</v>
      </c>
      <c r="R222" s="232">
        <v>0</v>
      </c>
      <c r="S222" s="232">
        <v>4988.2</v>
      </c>
      <c r="T222" s="232">
        <v>0</v>
      </c>
      <c r="U222" s="232">
        <v>13703.1</v>
      </c>
      <c r="V222" s="232">
        <v>0</v>
      </c>
      <c r="W222" s="233">
        <f t="shared" si="3"/>
        <v>401143.7377239443</v>
      </c>
      <c r="X222" s="232">
        <v>147</v>
      </c>
      <c r="Y222" s="232">
        <v>0</v>
      </c>
      <c r="Z222" s="234">
        <v>0.06</v>
      </c>
      <c r="AA222" s="232">
        <v>18</v>
      </c>
      <c r="AB222" s="232">
        <v>7</v>
      </c>
      <c r="AC222" s="232" t="s">
        <v>566</v>
      </c>
      <c r="AD222" s="232" t="s">
        <v>566</v>
      </c>
      <c r="AE222" s="430">
        <v>0</v>
      </c>
    </row>
    <row r="223" spans="1:31" x14ac:dyDescent="0.25">
      <c r="A223" s="108">
        <v>5763</v>
      </c>
      <c r="B223" s="226" t="s">
        <v>315</v>
      </c>
      <c r="C223" s="368">
        <v>573</v>
      </c>
      <c r="D223" s="371">
        <v>71</v>
      </c>
      <c r="E223" s="235">
        <v>1</v>
      </c>
      <c r="F223" s="231">
        <f>788822.4+160000</f>
        <v>948822.4</v>
      </c>
      <c r="G223" s="232">
        <f>212617.94-80000</f>
        <v>132617.94</v>
      </c>
      <c r="H223" s="232">
        <v>8603.25</v>
      </c>
      <c r="I223" s="232">
        <v>8800.7000000000007</v>
      </c>
      <c r="J223" s="232">
        <v>0</v>
      </c>
      <c r="K223" s="232">
        <v>2159.56</v>
      </c>
      <c r="L223" s="232">
        <v>-3676.31</v>
      </c>
      <c r="M223" s="232"/>
      <c r="N223" s="425">
        <f>Paramètres!$K$20/(Données!$H$302+Données!$I$302)*(Données!H223+Données!I223)</f>
        <v>1654.7181072399876</v>
      </c>
      <c r="O223" s="232">
        <v>97874.9</v>
      </c>
      <c r="P223" s="232">
        <v>9754.7999999999993</v>
      </c>
      <c r="Q223" s="232">
        <v>4579.6499999999996</v>
      </c>
      <c r="R223" s="232">
        <v>-16.149999999999999</v>
      </c>
      <c r="S223" s="232">
        <v>49280.7</v>
      </c>
      <c r="T223" s="232">
        <v>39250</v>
      </c>
      <c r="U223" s="232">
        <v>11296.25</v>
      </c>
      <c r="V223" s="232">
        <v>71687.55</v>
      </c>
      <c r="W223" s="233">
        <f t="shared" si="3"/>
        <v>1382689.95810724</v>
      </c>
      <c r="X223" s="232">
        <v>630</v>
      </c>
      <c r="Y223" s="232">
        <v>0</v>
      </c>
      <c r="Z223" s="234">
        <v>3.4000000000000002E-2</v>
      </c>
      <c r="AA223" s="232">
        <v>80</v>
      </c>
      <c r="AB223" s="232">
        <v>60</v>
      </c>
      <c r="AC223" s="232" t="s">
        <v>566</v>
      </c>
      <c r="AD223" s="232" t="s">
        <v>566</v>
      </c>
      <c r="AE223" s="430">
        <v>0</v>
      </c>
    </row>
    <row r="224" spans="1:31" x14ac:dyDescent="0.25">
      <c r="A224" s="108">
        <v>5764</v>
      </c>
      <c r="B224" s="226" t="s">
        <v>316</v>
      </c>
      <c r="C224" s="368">
        <v>4434</v>
      </c>
      <c r="D224" s="371">
        <v>70</v>
      </c>
      <c r="E224" s="235">
        <v>1</v>
      </c>
      <c r="F224" s="231">
        <v>4826490.8600000003</v>
      </c>
      <c r="G224" s="232">
        <v>566265.31000000006</v>
      </c>
      <c r="H224" s="232">
        <v>388559.65</v>
      </c>
      <c r="I224" s="232">
        <v>64696.4</v>
      </c>
      <c r="J224" s="232">
        <v>0</v>
      </c>
      <c r="K224" s="232">
        <v>80698.33</v>
      </c>
      <c r="L224" s="232">
        <v>-191435.79</v>
      </c>
      <c r="M224" s="232"/>
      <c r="N224" s="425">
        <f>Paramètres!$K$20/(Données!$H$302+Données!$I$302)*(Données!H224+Données!I224)</f>
        <v>43094.297165360345</v>
      </c>
      <c r="O224" s="232">
        <v>613939.9</v>
      </c>
      <c r="P224" s="232">
        <v>415143</v>
      </c>
      <c r="Q224" s="232">
        <v>67751.850000000006</v>
      </c>
      <c r="R224" s="232">
        <v>-924.45</v>
      </c>
      <c r="S224" s="232">
        <v>450790</v>
      </c>
      <c r="T224" s="232">
        <f>1481035.7-1250000</f>
        <v>231035.69999999995</v>
      </c>
      <c r="U224" s="232">
        <v>287066.25</v>
      </c>
      <c r="V224" s="232">
        <v>2632478</v>
      </c>
      <c r="W224" s="233">
        <f t="shared" si="3"/>
        <v>10475649.307165362</v>
      </c>
      <c r="X224" s="232">
        <v>2279</v>
      </c>
      <c r="Y224" s="232">
        <v>4434</v>
      </c>
      <c r="Z224" s="234">
        <v>0.48199999999999998</v>
      </c>
      <c r="AA224" s="232">
        <v>594</v>
      </c>
      <c r="AB224" s="232">
        <v>20</v>
      </c>
      <c r="AC224" s="232" t="s">
        <v>566</v>
      </c>
      <c r="AD224" s="232" t="s">
        <v>566</v>
      </c>
      <c r="AE224" s="430">
        <v>0</v>
      </c>
    </row>
    <row r="225" spans="1:31" x14ac:dyDescent="0.25">
      <c r="A225" s="108">
        <v>5765</v>
      </c>
      <c r="B225" s="226" t="s">
        <v>317</v>
      </c>
      <c r="C225" s="368">
        <v>500</v>
      </c>
      <c r="D225" s="371">
        <v>81</v>
      </c>
      <c r="E225" s="235">
        <v>0.5</v>
      </c>
      <c r="F225" s="231">
        <v>594170.13</v>
      </c>
      <c r="G225" s="232">
        <v>85692.43</v>
      </c>
      <c r="H225" s="232">
        <v>16818.8</v>
      </c>
      <c r="I225" s="232">
        <v>824.25</v>
      </c>
      <c r="J225" s="232">
        <v>0</v>
      </c>
      <c r="K225" s="232">
        <v>5432.36</v>
      </c>
      <c r="L225" s="232">
        <v>-13081.53</v>
      </c>
      <c r="M225" s="232"/>
      <c r="N225" s="425">
        <f>Paramètres!$K$20/(Données!$H$302+Données!$I$302)*(Données!H225+Données!I225)</f>
        <v>1677.451055762655</v>
      </c>
      <c r="O225" s="232">
        <v>35581.35</v>
      </c>
      <c r="P225" s="232">
        <v>30245.61</v>
      </c>
      <c r="Q225" s="232">
        <v>0</v>
      </c>
      <c r="R225" s="232">
        <v>-89</v>
      </c>
      <c r="S225" s="232">
        <v>36915.300000000003</v>
      </c>
      <c r="T225" s="232">
        <v>25068.2</v>
      </c>
      <c r="U225" s="232">
        <v>24972.75</v>
      </c>
      <c r="V225" s="232">
        <v>82005.45</v>
      </c>
      <c r="W225" s="233">
        <f t="shared" si="3"/>
        <v>926233.55105576268</v>
      </c>
      <c r="X225" s="232">
        <v>1315</v>
      </c>
      <c r="Y225" s="232">
        <v>500</v>
      </c>
      <c r="Z225" s="234">
        <v>0.26900000000000002</v>
      </c>
      <c r="AA225" s="232">
        <v>63</v>
      </c>
      <c r="AB225" s="232">
        <v>29</v>
      </c>
      <c r="AC225" s="232" t="s">
        <v>566</v>
      </c>
      <c r="AD225" s="232" t="s">
        <v>566</v>
      </c>
      <c r="AE225" s="430">
        <v>0</v>
      </c>
    </row>
    <row r="226" spans="1:31" x14ac:dyDescent="0.25">
      <c r="A226" s="108">
        <v>5766</v>
      </c>
      <c r="B226" s="226" t="s">
        <v>318</v>
      </c>
      <c r="C226" s="368">
        <v>616</v>
      </c>
      <c r="D226" s="371">
        <v>75</v>
      </c>
      <c r="E226" s="235">
        <v>0.7</v>
      </c>
      <c r="F226" s="231">
        <v>869022.51</v>
      </c>
      <c r="G226" s="232">
        <v>120705.65</v>
      </c>
      <c r="H226" s="232">
        <v>-9159.75</v>
      </c>
      <c r="I226" s="232">
        <v>3484.45</v>
      </c>
      <c r="J226" s="232">
        <v>0</v>
      </c>
      <c r="K226" s="232">
        <v>4890</v>
      </c>
      <c r="L226" s="232">
        <v>-10415.11</v>
      </c>
      <c r="M226" s="232"/>
      <c r="N226" s="425">
        <f>Paramètres!$K$20/(Données!$H$302+Données!$I$302)*(Données!H226+Données!I226)</f>
        <v>-539.59139586238189</v>
      </c>
      <c r="O226" s="232">
        <v>70762.95</v>
      </c>
      <c r="P226" s="232">
        <v>30512.35</v>
      </c>
      <c r="Q226" s="232">
        <v>13709.8</v>
      </c>
      <c r="R226" s="232">
        <v>-71.2</v>
      </c>
      <c r="S226" s="232">
        <v>12008.75</v>
      </c>
      <c r="T226" s="232">
        <v>1504.8</v>
      </c>
      <c r="U226" s="232">
        <v>32914</v>
      </c>
      <c r="V226" s="232">
        <v>42421</v>
      </c>
      <c r="W226" s="233">
        <f t="shared" si="3"/>
        <v>1181750.6086041378</v>
      </c>
      <c r="X226" s="232">
        <v>509</v>
      </c>
      <c r="Y226" s="232">
        <v>0</v>
      </c>
      <c r="Z226" s="234">
        <v>0.217</v>
      </c>
      <c r="AA226" s="232">
        <v>70</v>
      </c>
      <c r="AB226" s="232">
        <v>70</v>
      </c>
      <c r="AC226" s="232" t="s">
        <v>566</v>
      </c>
      <c r="AD226" s="232" t="s">
        <v>566</v>
      </c>
      <c r="AE226" s="430">
        <v>0</v>
      </c>
    </row>
    <row r="227" spans="1:31" x14ac:dyDescent="0.25">
      <c r="A227" s="108">
        <v>5785</v>
      </c>
      <c r="B227" s="226" t="s">
        <v>319</v>
      </c>
      <c r="C227" s="368">
        <v>495</v>
      </c>
      <c r="D227" s="371">
        <v>75</v>
      </c>
      <c r="E227" s="235">
        <v>1</v>
      </c>
      <c r="F227" s="231">
        <v>1050240.33</v>
      </c>
      <c r="G227" s="232">
        <v>210207.62</v>
      </c>
      <c r="H227" s="232">
        <v>-16137.4</v>
      </c>
      <c r="I227" s="232">
        <v>2926.1</v>
      </c>
      <c r="J227" s="232">
        <v>0</v>
      </c>
      <c r="K227" s="232">
        <v>623.55999999999995</v>
      </c>
      <c r="L227" s="232">
        <v>-9955.7900000000009</v>
      </c>
      <c r="M227" s="232"/>
      <c r="N227" s="425">
        <f>Paramètres!$K$20/(Données!$H$302+Données!$I$302)*(Données!H227+Données!I227)</f>
        <v>-1256.0928599645279</v>
      </c>
      <c r="O227" s="232">
        <v>91544.8</v>
      </c>
      <c r="P227" s="232">
        <v>30897.45</v>
      </c>
      <c r="Q227" s="232">
        <v>1393.6</v>
      </c>
      <c r="R227" s="232">
        <v>-7911.2</v>
      </c>
      <c r="S227" s="232">
        <v>63999.15</v>
      </c>
      <c r="T227" s="232">
        <v>64950</v>
      </c>
      <c r="U227" s="232">
        <v>14085.95</v>
      </c>
      <c r="V227" s="232">
        <v>0</v>
      </c>
      <c r="W227" s="233">
        <f t="shared" si="3"/>
        <v>1495608.0771400358</v>
      </c>
      <c r="X227" s="232">
        <v>793</v>
      </c>
      <c r="Y227" s="232">
        <v>495</v>
      </c>
      <c r="Z227" s="234">
        <v>6.6000000000000003E-2</v>
      </c>
      <c r="AA227" s="232">
        <v>60</v>
      </c>
      <c r="AB227" s="232">
        <v>60</v>
      </c>
      <c r="AC227" s="232" t="s">
        <v>566</v>
      </c>
      <c r="AD227" s="232" t="s">
        <v>566</v>
      </c>
      <c r="AE227" s="430">
        <v>0</v>
      </c>
    </row>
    <row r="228" spans="1:31" x14ac:dyDescent="0.25">
      <c r="A228" s="108">
        <v>5790</v>
      </c>
      <c r="B228" s="226" t="s">
        <v>320</v>
      </c>
      <c r="C228" s="368">
        <v>565</v>
      </c>
      <c r="D228" s="371">
        <v>74.5</v>
      </c>
      <c r="E228" s="235">
        <v>1</v>
      </c>
      <c r="F228" s="231">
        <v>1033696.4</v>
      </c>
      <c r="G228" s="232">
        <v>170937.82</v>
      </c>
      <c r="H228" s="232">
        <v>18240.599999999999</v>
      </c>
      <c r="I228" s="232">
        <v>871.05</v>
      </c>
      <c r="J228" s="232">
        <v>0</v>
      </c>
      <c r="K228" s="232">
        <v>1037.67</v>
      </c>
      <c r="L228" s="232">
        <v>-5023.8999999999996</v>
      </c>
      <c r="M228" s="232"/>
      <c r="N228" s="425">
        <f>Paramètres!$K$20/(Données!$H$302+Données!$I$302)*(Données!H228+Données!I228)</f>
        <v>1817.0813702770408</v>
      </c>
      <c r="O228" s="232">
        <v>104687.75</v>
      </c>
      <c r="P228" s="232">
        <v>1427.19</v>
      </c>
      <c r="Q228" s="232">
        <v>1468.6</v>
      </c>
      <c r="R228" s="232">
        <v>-2235.75</v>
      </c>
      <c r="S228" s="232">
        <v>14355</v>
      </c>
      <c r="T228" s="232">
        <v>4431.8999999999996</v>
      </c>
      <c r="U228" s="232">
        <v>11297.05</v>
      </c>
      <c r="V228" s="232">
        <v>66.099999999999994</v>
      </c>
      <c r="W228" s="233">
        <f t="shared" si="3"/>
        <v>1357074.5613702773</v>
      </c>
      <c r="X228" s="232">
        <v>428</v>
      </c>
      <c r="Y228" s="232">
        <v>565</v>
      </c>
      <c r="Z228" s="234">
        <v>6.6000000000000003E-2</v>
      </c>
      <c r="AA228" s="232">
        <v>72</v>
      </c>
      <c r="AB228" s="232">
        <v>72</v>
      </c>
      <c r="AC228" s="232" t="s">
        <v>566</v>
      </c>
      <c r="AD228" s="232" t="s">
        <v>566</v>
      </c>
      <c r="AE228" s="430">
        <v>0</v>
      </c>
    </row>
    <row r="229" spans="1:31" x14ac:dyDescent="0.25">
      <c r="A229" s="108">
        <v>5792</v>
      </c>
      <c r="B229" s="226" t="s">
        <v>321</v>
      </c>
      <c r="C229" s="368">
        <v>670</v>
      </c>
      <c r="D229" s="371">
        <v>74.5</v>
      </c>
      <c r="E229" s="235">
        <v>1</v>
      </c>
      <c r="F229" s="231">
        <v>1284287.3899999999</v>
      </c>
      <c r="G229" s="232">
        <v>218345</v>
      </c>
      <c r="H229" s="232">
        <v>16291.4</v>
      </c>
      <c r="I229" s="232">
        <v>2689</v>
      </c>
      <c r="J229" s="232">
        <v>0</v>
      </c>
      <c r="K229" s="232">
        <v>0</v>
      </c>
      <c r="L229" s="232">
        <v>-2231.5</v>
      </c>
      <c r="M229" s="232"/>
      <c r="N229" s="425">
        <f>Paramètres!$K$20/(Données!$H$302+Données!$I$302)*(Données!H229+Données!I229)</f>
        <v>1804.6024932649118</v>
      </c>
      <c r="O229" s="232">
        <v>124957.9</v>
      </c>
      <c r="P229" s="232">
        <v>31672.92</v>
      </c>
      <c r="Q229" s="232">
        <v>1716.5</v>
      </c>
      <c r="R229" s="232">
        <v>-132.75</v>
      </c>
      <c r="S229" s="232">
        <v>152155.29999999999</v>
      </c>
      <c r="T229" s="232">
        <f>290244.2-290000</f>
        <v>244.20000000001164</v>
      </c>
      <c r="U229" s="232">
        <v>95722.75</v>
      </c>
      <c r="V229" s="232">
        <v>5476.05</v>
      </c>
      <c r="W229" s="233">
        <f t="shared" si="3"/>
        <v>1932998.7624932646</v>
      </c>
      <c r="X229" s="232">
        <v>414</v>
      </c>
      <c r="Y229" s="232">
        <v>670</v>
      </c>
      <c r="Z229" s="234">
        <v>9.5000000000000001E-2</v>
      </c>
      <c r="AA229" s="232">
        <v>62</v>
      </c>
      <c r="AB229" s="232">
        <v>62</v>
      </c>
      <c r="AC229" s="232" t="s">
        <v>566</v>
      </c>
      <c r="AD229" s="232" t="s">
        <v>566</v>
      </c>
      <c r="AE229" s="430">
        <v>0</v>
      </c>
    </row>
    <row r="230" spans="1:31" x14ac:dyDescent="0.25">
      <c r="A230" s="108">
        <v>5798</v>
      </c>
      <c r="B230" s="226" t="s">
        <v>322</v>
      </c>
      <c r="C230" s="368">
        <v>535</v>
      </c>
      <c r="D230" s="371">
        <v>77.5</v>
      </c>
      <c r="E230" s="235">
        <v>1</v>
      </c>
      <c r="F230" s="231">
        <v>994303.78</v>
      </c>
      <c r="G230" s="232">
        <v>106873.08</v>
      </c>
      <c r="H230" s="232">
        <v>17495.45</v>
      </c>
      <c r="I230" s="232">
        <v>4326.8500000000004</v>
      </c>
      <c r="J230" s="232">
        <v>0</v>
      </c>
      <c r="K230" s="232">
        <v>2598.54</v>
      </c>
      <c r="L230" s="232">
        <v>-15776.86</v>
      </c>
      <c r="M230" s="232"/>
      <c r="N230" s="425">
        <f>Paramètres!$K$20/(Données!$H$302+Données!$I$302)*(Données!H230+Données!I230)</f>
        <v>2074.8022691184005</v>
      </c>
      <c r="O230" s="232">
        <v>104038.3</v>
      </c>
      <c r="P230" s="232">
        <v>39089.760000000002</v>
      </c>
      <c r="Q230" s="232">
        <v>11231.3</v>
      </c>
      <c r="R230" s="232">
        <v>-298</v>
      </c>
      <c r="S230" s="232">
        <v>42227.9</v>
      </c>
      <c r="T230" s="232">
        <v>104.5</v>
      </c>
      <c r="U230" s="232">
        <v>71538.899999999994</v>
      </c>
      <c r="V230" s="232">
        <v>40958.199999999997</v>
      </c>
      <c r="W230" s="233">
        <f t="shared" si="3"/>
        <v>1420786.5022691183</v>
      </c>
      <c r="X230" s="232">
        <v>474</v>
      </c>
      <c r="Y230" s="232">
        <v>403</v>
      </c>
      <c r="Z230" s="234">
        <v>0.123</v>
      </c>
      <c r="AA230" s="232">
        <v>75</v>
      </c>
      <c r="AB230" s="232">
        <v>60</v>
      </c>
      <c r="AC230" s="232" t="s">
        <v>566</v>
      </c>
      <c r="AD230" s="232" t="s">
        <v>566</v>
      </c>
      <c r="AE230" s="430">
        <v>0</v>
      </c>
    </row>
    <row r="231" spans="1:31" x14ac:dyDescent="0.25">
      <c r="A231" s="108">
        <v>5799</v>
      </c>
      <c r="B231" s="226" t="s">
        <v>323</v>
      </c>
      <c r="C231" s="368">
        <v>2241</v>
      </c>
      <c r="D231" s="371">
        <v>69</v>
      </c>
      <c r="E231" s="235">
        <v>1</v>
      </c>
      <c r="F231" s="231">
        <v>4407966.7699999996</v>
      </c>
      <c r="G231" s="232">
        <v>629881.36</v>
      </c>
      <c r="H231" s="232">
        <v>83301.149999999994</v>
      </c>
      <c r="I231" s="232">
        <v>8697.2999999999993</v>
      </c>
      <c r="J231" s="232">
        <v>0</v>
      </c>
      <c r="K231" s="232">
        <v>3281.56</v>
      </c>
      <c r="L231" s="232">
        <v>-132319.57999999999</v>
      </c>
      <c r="M231" s="232"/>
      <c r="N231" s="425">
        <f>Paramètres!$K$20/(Données!$H$302+Données!$I$302)*(Données!H231+Données!I231)</f>
        <v>8746.9511836687998</v>
      </c>
      <c r="O231" s="232">
        <v>469101.65</v>
      </c>
      <c r="P231" s="232">
        <v>83966.21</v>
      </c>
      <c r="Q231" s="232">
        <v>18072.099999999999</v>
      </c>
      <c r="R231" s="232">
        <v>-761.91</v>
      </c>
      <c r="S231" s="232">
        <v>152330.9</v>
      </c>
      <c r="T231" s="232">
        <v>2283.3000000000002</v>
      </c>
      <c r="U231" s="232">
        <v>174448.05</v>
      </c>
      <c r="V231" s="232">
        <v>40137.949999999997</v>
      </c>
      <c r="W231" s="233">
        <f t="shared" si="3"/>
        <v>5949133.7611836679</v>
      </c>
      <c r="X231" s="232">
        <v>628</v>
      </c>
      <c r="Y231" s="232">
        <v>2241</v>
      </c>
      <c r="Z231" s="234">
        <v>6.7000000000000004E-2</v>
      </c>
      <c r="AA231" s="232">
        <v>304</v>
      </c>
      <c r="AB231" s="232">
        <v>196</v>
      </c>
      <c r="AC231" s="232" t="s">
        <v>566</v>
      </c>
      <c r="AD231" s="232" t="s">
        <v>566</v>
      </c>
      <c r="AE231" s="430">
        <v>0</v>
      </c>
    </row>
    <row r="232" spans="1:31" x14ac:dyDescent="0.25">
      <c r="A232" s="108">
        <v>5803</v>
      </c>
      <c r="B232" s="226" t="s">
        <v>324</v>
      </c>
      <c r="C232" s="368">
        <v>630</v>
      </c>
      <c r="D232" s="371">
        <v>74</v>
      </c>
      <c r="E232" s="235">
        <v>1</v>
      </c>
      <c r="F232" s="231">
        <v>1167011.3799999999</v>
      </c>
      <c r="G232" s="232">
        <v>186143.12</v>
      </c>
      <c r="H232" s="232">
        <v>8586.1</v>
      </c>
      <c r="I232" s="232">
        <v>3522.75</v>
      </c>
      <c r="J232" s="232">
        <v>0</v>
      </c>
      <c r="K232" s="232">
        <v>10051.6</v>
      </c>
      <c r="L232" s="232">
        <v>-37408.51</v>
      </c>
      <c r="M232" s="232"/>
      <c r="N232" s="425">
        <f>Paramètres!$K$20/(Données!$H$302+Données!$I$302)*(Données!H232+Données!I232)</f>
        <v>1151.2750469205509</v>
      </c>
      <c r="O232" s="232">
        <v>115601</v>
      </c>
      <c r="P232" s="232">
        <v>26087.58</v>
      </c>
      <c r="Q232" s="232">
        <v>0</v>
      </c>
      <c r="R232" s="232">
        <v>-877.75</v>
      </c>
      <c r="S232" s="232">
        <v>61771.05</v>
      </c>
      <c r="T232" s="232">
        <v>765.2</v>
      </c>
      <c r="U232" s="232">
        <v>40724.199999999997</v>
      </c>
      <c r="V232" s="232">
        <v>1566.55</v>
      </c>
      <c r="W232" s="233">
        <f t="shared" si="3"/>
        <v>1584695.5450469209</v>
      </c>
      <c r="X232" s="232">
        <v>653</v>
      </c>
      <c r="Y232" s="232">
        <v>39</v>
      </c>
      <c r="Z232" s="234">
        <v>0.111</v>
      </c>
      <c r="AA232" s="232">
        <v>82</v>
      </c>
      <c r="AB232" s="232">
        <v>67</v>
      </c>
      <c r="AC232" s="232" t="s">
        <v>566</v>
      </c>
      <c r="AD232" s="232" t="s">
        <v>566</v>
      </c>
      <c r="AE232" s="430">
        <v>0</v>
      </c>
    </row>
    <row r="233" spans="1:31" x14ac:dyDescent="0.25">
      <c r="A233" s="108">
        <v>5804</v>
      </c>
      <c r="B233" s="226" t="s">
        <v>325</v>
      </c>
      <c r="C233" s="368">
        <v>1564</v>
      </c>
      <c r="D233" s="371">
        <v>70.5</v>
      </c>
      <c r="E233" s="235">
        <v>1</v>
      </c>
      <c r="F233" s="231">
        <v>2682856.85</v>
      </c>
      <c r="G233" s="232">
        <v>406891.48</v>
      </c>
      <c r="H233" s="232">
        <v>46254.15</v>
      </c>
      <c r="I233" s="232">
        <v>2708.2</v>
      </c>
      <c r="J233" s="232">
        <v>0</v>
      </c>
      <c r="K233" s="232">
        <v>4569.2299999999996</v>
      </c>
      <c r="L233" s="232">
        <v>-37349.620000000003</v>
      </c>
      <c r="M233" s="232"/>
      <c r="N233" s="425">
        <f>Paramètres!$K$20/(Données!$H$302+Données!$I$302)*(Données!H233+Données!I233)</f>
        <v>4655.2010961891865</v>
      </c>
      <c r="O233" s="232">
        <v>291767.15000000002</v>
      </c>
      <c r="P233" s="232">
        <v>49283.86</v>
      </c>
      <c r="Q233" s="232">
        <v>4043.95</v>
      </c>
      <c r="R233" s="232">
        <v>-4010</v>
      </c>
      <c r="S233" s="232">
        <v>149350.5</v>
      </c>
      <c r="T233" s="232">
        <v>5247</v>
      </c>
      <c r="U233" s="232">
        <v>122652.05</v>
      </c>
      <c r="V233" s="232">
        <v>21030.3</v>
      </c>
      <c r="W233" s="233">
        <f t="shared" si="3"/>
        <v>3749950.3010961888</v>
      </c>
      <c r="X233" s="232">
        <v>1768</v>
      </c>
      <c r="Y233" s="232">
        <v>1535</v>
      </c>
      <c r="Z233" s="234">
        <v>9.5000000000000001E-2</v>
      </c>
      <c r="AA233" s="232">
        <v>196</v>
      </c>
      <c r="AB233" s="232">
        <v>195</v>
      </c>
      <c r="AC233" s="232" t="s">
        <v>566</v>
      </c>
      <c r="AD233" s="232" t="s">
        <v>566</v>
      </c>
      <c r="AE233" s="430">
        <v>0</v>
      </c>
    </row>
    <row r="234" spans="1:31" x14ac:dyDescent="0.25">
      <c r="A234" s="108">
        <v>5805</v>
      </c>
      <c r="B234" s="226" t="s">
        <v>326</v>
      </c>
      <c r="C234" s="368">
        <v>6451</v>
      </c>
      <c r="D234" s="371">
        <v>69</v>
      </c>
      <c r="E234" s="235">
        <v>1.1000000000000001</v>
      </c>
      <c r="F234" s="231">
        <v>9439407.0299999993</v>
      </c>
      <c r="G234" s="232">
        <v>1256246.43</v>
      </c>
      <c r="H234" s="232">
        <v>236400</v>
      </c>
      <c r="I234" s="232">
        <v>22289.3</v>
      </c>
      <c r="J234" s="232">
        <v>41205.050000000003</v>
      </c>
      <c r="K234" s="232">
        <v>77519.009999999995</v>
      </c>
      <c r="L234" s="232">
        <v>-226997.49</v>
      </c>
      <c r="M234" s="232"/>
      <c r="N234" s="425">
        <f>Paramètres!$K$20/(Données!$H$302+Données!$I$302)*(Données!H234+Données!I234)</f>
        <v>24595.443497552984</v>
      </c>
      <c r="O234" s="232">
        <v>1398905.2</v>
      </c>
      <c r="P234" s="232">
        <v>268234.52</v>
      </c>
      <c r="Q234" s="232">
        <v>81623.100000000006</v>
      </c>
      <c r="R234" s="232">
        <v>-2222.1</v>
      </c>
      <c r="S234" s="232">
        <v>893517</v>
      </c>
      <c r="T234" s="232">
        <v>131932.4</v>
      </c>
      <c r="U234" s="232">
        <v>677068.7</v>
      </c>
      <c r="V234" s="232">
        <v>115875.55</v>
      </c>
      <c r="W234" s="233">
        <f t="shared" si="3"/>
        <v>14435599.143497553</v>
      </c>
      <c r="X234" s="232">
        <v>2616</v>
      </c>
      <c r="Y234" s="232">
        <v>1059</v>
      </c>
      <c r="Z234" s="234">
        <v>5.5E-2</v>
      </c>
      <c r="AA234" s="232">
        <v>850</v>
      </c>
      <c r="AB234" s="232">
        <v>312</v>
      </c>
      <c r="AC234" s="232" t="s">
        <v>566</v>
      </c>
      <c r="AD234" s="232" t="s">
        <v>566</v>
      </c>
      <c r="AE234" s="430">
        <v>0</v>
      </c>
    </row>
    <row r="235" spans="1:31" x14ac:dyDescent="0.25">
      <c r="A235" s="108">
        <v>5806</v>
      </c>
      <c r="B235" s="226" t="s">
        <v>327</v>
      </c>
      <c r="C235" s="368">
        <v>3209</v>
      </c>
      <c r="D235" s="371">
        <v>71</v>
      </c>
      <c r="E235" s="235">
        <v>1</v>
      </c>
      <c r="F235" s="231">
        <v>5618420.1600000001</v>
      </c>
      <c r="G235" s="232">
        <v>722401.43</v>
      </c>
      <c r="H235" s="232">
        <v>195280.2</v>
      </c>
      <c r="I235" s="232">
        <v>10940.8</v>
      </c>
      <c r="J235" s="232">
        <v>52354.65</v>
      </c>
      <c r="K235" s="232">
        <v>19569.169999999998</v>
      </c>
      <c r="L235" s="232">
        <v>-48519.29</v>
      </c>
      <c r="M235" s="232"/>
      <c r="N235" s="425">
        <f>Paramètres!$K$20/(Données!$H$302+Données!$I$302)*(Données!H235+Données!I235)</f>
        <v>19606.906638615801</v>
      </c>
      <c r="O235" s="232">
        <v>627283</v>
      </c>
      <c r="P235" s="232">
        <v>93436.63</v>
      </c>
      <c r="Q235" s="232">
        <v>40158.550000000003</v>
      </c>
      <c r="R235" s="232">
        <v>-5396.4</v>
      </c>
      <c r="S235" s="232">
        <v>217520.35</v>
      </c>
      <c r="T235" s="232">
        <v>132141.79999999999</v>
      </c>
      <c r="U235" s="232">
        <v>245903.55</v>
      </c>
      <c r="V235" s="232">
        <v>43116.35</v>
      </c>
      <c r="W235" s="233">
        <f t="shared" si="3"/>
        <v>7984217.8566386141</v>
      </c>
      <c r="X235" s="232">
        <v>1112</v>
      </c>
      <c r="Y235" s="232">
        <v>2018</v>
      </c>
      <c r="Z235" s="234">
        <v>5.1999999999999998E-2</v>
      </c>
      <c r="AA235" s="232">
        <v>427</v>
      </c>
      <c r="AB235" s="232">
        <v>28</v>
      </c>
      <c r="AC235" s="232" t="s">
        <v>566</v>
      </c>
      <c r="AD235" s="232" t="s">
        <v>566</v>
      </c>
      <c r="AE235" s="430">
        <v>0</v>
      </c>
    </row>
    <row r="236" spans="1:31" x14ac:dyDescent="0.25">
      <c r="A236" s="108">
        <v>5812</v>
      </c>
      <c r="B236" s="226" t="s">
        <v>328</v>
      </c>
      <c r="C236" s="368">
        <v>184</v>
      </c>
      <c r="D236" s="371">
        <v>77</v>
      </c>
      <c r="E236" s="235">
        <v>0.8</v>
      </c>
      <c r="F236" s="231">
        <v>259231.86</v>
      </c>
      <c r="G236" s="232">
        <v>25943.200000000001</v>
      </c>
      <c r="H236" s="232">
        <v>3490.25</v>
      </c>
      <c r="I236" s="232">
        <v>526.79999999999995</v>
      </c>
      <c r="J236" s="232">
        <v>0</v>
      </c>
      <c r="K236" s="232">
        <v>64.239999999999995</v>
      </c>
      <c r="L236" s="232">
        <v>-7018.41</v>
      </c>
      <c r="M236" s="232"/>
      <c r="N236" s="425">
        <f>Paramètres!$K$20/(Données!$H$302+Données!$I$302)*(Données!H236+Données!I236)</f>
        <v>381.92969829770783</v>
      </c>
      <c r="O236" s="232">
        <v>21367</v>
      </c>
      <c r="P236" s="232">
        <v>3627.21</v>
      </c>
      <c r="Q236" s="232">
        <v>894.75</v>
      </c>
      <c r="R236" s="232">
        <v>-71.25</v>
      </c>
      <c r="S236" s="232">
        <v>16060</v>
      </c>
      <c r="T236" s="232">
        <v>0</v>
      </c>
      <c r="U236" s="232">
        <v>16803.45</v>
      </c>
      <c r="V236" s="232">
        <v>0</v>
      </c>
      <c r="W236" s="233">
        <f t="shared" si="3"/>
        <v>341301.02969829773</v>
      </c>
      <c r="X236" s="232">
        <v>302</v>
      </c>
      <c r="Y236" s="232">
        <v>0</v>
      </c>
      <c r="Z236" s="234">
        <v>2.1000000000000001E-2</v>
      </c>
      <c r="AA236" s="232">
        <v>36</v>
      </c>
      <c r="AB236" s="232">
        <v>36</v>
      </c>
      <c r="AC236" s="232" t="s">
        <v>566</v>
      </c>
      <c r="AD236" s="232" t="s">
        <v>566</v>
      </c>
      <c r="AE236" s="430">
        <v>0</v>
      </c>
    </row>
    <row r="237" spans="1:31" x14ac:dyDescent="0.25">
      <c r="A237" s="108">
        <v>5813</v>
      </c>
      <c r="B237" s="226" t="s">
        <v>329</v>
      </c>
      <c r="C237" s="368">
        <v>487</v>
      </c>
      <c r="D237" s="371">
        <v>68.5</v>
      </c>
      <c r="E237" s="235">
        <v>1.2</v>
      </c>
      <c r="F237" s="231">
        <v>1171559.17</v>
      </c>
      <c r="G237" s="232">
        <v>140333.82999999999</v>
      </c>
      <c r="H237" s="232">
        <v>29867.5</v>
      </c>
      <c r="I237" s="232">
        <v>520.20000000000005</v>
      </c>
      <c r="J237" s="232">
        <v>0</v>
      </c>
      <c r="K237" s="232">
        <v>516.03</v>
      </c>
      <c r="L237" s="232">
        <v>-7165.85</v>
      </c>
      <c r="M237" s="232"/>
      <c r="N237" s="425">
        <f>Paramètres!$K$20/(Données!$H$302+Données!$I$302)*(Données!H237+Données!I237)</f>
        <v>2889.1761598589151</v>
      </c>
      <c r="O237" s="232">
        <v>128185.15</v>
      </c>
      <c r="P237" s="232">
        <v>5835.09</v>
      </c>
      <c r="Q237" s="232">
        <v>0</v>
      </c>
      <c r="R237" s="232">
        <v>0</v>
      </c>
      <c r="S237" s="232">
        <v>102995.75</v>
      </c>
      <c r="T237" s="232">
        <v>76492.800000000003</v>
      </c>
      <c r="U237" s="232">
        <v>55233.85</v>
      </c>
      <c r="V237" s="232">
        <v>2556.9499999999998</v>
      </c>
      <c r="W237" s="233">
        <f t="shared" si="3"/>
        <v>1709819.6461598589</v>
      </c>
      <c r="X237" s="232">
        <v>335</v>
      </c>
      <c r="Y237" s="232">
        <v>0</v>
      </c>
      <c r="Z237" s="234">
        <v>2.4E-2</v>
      </c>
      <c r="AA237" s="232">
        <v>60</v>
      </c>
      <c r="AB237" s="232">
        <v>60</v>
      </c>
      <c r="AC237" s="232" t="s">
        <v>566</v>
      </c>
      <c r="AD237" s="232" t="s">
        <v>566</v>
      </c>
      <c r="AE237" s="430">
        <v>0</v>
      </c>
    </row>
    <row r="238" spans="1:31" x14ac:dyDescent="0.25">
      <c r="A238" s="108">
        <v>5816</v>
      </c>
      <c r="B238" s="226" t="s">
        <v>330</v>
      </c>
      <c r="C238" s="368">
        <v>3129</v>
      </c>
      <c r="D238" s="371">
        <v>65</v>
      </c>
      <c r="E238" s="235">
        <v>0.7</v>
      </c>
      <c r="F238" s="231">
        <v>3457357.46</v>
      </c>
      <c r="G238" s="232">
        <v>390523.24</v>
      </c>
      <c r="H238" s="232">
        <v>183025.85</v>
      </c>
      <c r="I238" s="232">
        <v>20078.25</v>
      </c>
      <c r="J238" s="232">
        <v>0</v>
      </c>
      <c r="K238" s="232">
        <v>10140.41</v>
      </c>
      <c r="L238" s="232">
        <v>-106722.39</v>
      </c>
      <c r="M238" s="232"/>
      <c r="N238" s="425">
        <f>Paramètres!$K$20/(Données!$H$302+Données!$I$302)*(Données!H238+Données!I238)</f>
        <v>19310.56064426071</v>
      </c>
      <c r="O238" s="232">
        <v>330150.40000000002</v>
      </c>
      <c r="P238" s="232">
        <v>218812.55</v>
      </c>
      <c r="Q238" s="232">
        <v>29555.05</v>
      </c>
      <c r="R238" s="232">
        <v>-167.9</v>
      </c>
      <c r="S238" s="232">
        <v>352624.7</v>
      </c>
      <c r="T238" s="232">
        <v>58753.1</v>
      </c>
      <c r="U238" s="232">
        <v>299306.15000000002</v>
      </c>
      <c r="V238" s="232">
        <v>63260.85</v>
      </c>
      <c r="W238" s="233">
        <f t="shared" si="3"/>
        <v>5326008.2806442603</v>
      </c>
      <c r="X238" s="232">
        <v>1188</v>
      </c>
      <c r="Y238" s="232">
        <v>0</v>
      </c>
      <c r="Z238" s="234">
        <v>2.3E-2</v>
      </c>
      <c r="AA238" s="232">
        <v>426</v>
      </c>
      <c r="AB238" s="232">
        <v>64</v>
      </c>
      <c r="AC238" s="232" t="s">
        <v>566</v>
      </c>
      <c r="AD238" s="232" t="s">
        <v>566</v>
      </c>
      <c r="AE238" s="430">
        <v>0</v>
      </c>
    </row>
    <row r="239" spans="1:31" x14ac:dyDescent="0.25">
      <c r="A239" s="108">
        <v>5817</v>
      </c>
      <c r="B239" s="226" t="s">
        <v>331</v>
      </c>
      <c r="C239" s="368">
        <v>970</v>
      </c>
      <c r="D239" s="371">
        <v>72</v>
      </c>
      <c r="E239" s="235">
        <v>1</v>
      </c>
      <c r="F239" s="231">
        <v>1393144.07</v>
      </c>
      <c r="G239" s="232">
        <v>184744.42</v>
      </c>
      <c r="H239" s="232">
        <v>30977.1</v>
      </c>
      <c r="I239" s="232">
        <v>2585.65</v>
      </c>
      <c r="J239" s="232">
        <v>0</v>
      </c>
      <c r="K239" s="232">
        <v>0</v>
      </c>
      <c r="L239" s="232">
        <v>-22791.84</v>
      </c>
      <c r="M239" s="232"/>
      <c r="N239" s="425">
        <f>Paramètres!$K$20/(Données!$H$302+Données!$I$302)*(Données!H239+Données!I239)</f>
        <v>3191.0508909626201</v>
      </c>
      <c r="O239" s="232">
        <v>149542.65</v>
      </c>
      <c r="P239" s="232">
        <v>47950.71</v>
      </c>
      <c r="Q239" s="232">
        <v>9063.15</v>
      </c>
      <c r="R239" s="232">
        <v>-122.1</v>
      </c>
      <c r="S239" s="232">
        <v>66399.649999999994</v>
      </c>
      <c r="T239" s="232">
        <v>57101.5</v>
      </c>
      <c r="U239" s="232">
        <v>70348.600000000006</v>
      </c>
      <c r="V239" s="232">
        <v>8951.65</v>
      </c>
      <c r="W239" s="233">
        <f t="shared" si="3"/>
        <v>2001086.2608909621</v>
      </c>
      <c r="X239" s="232">
        <v>1016</v>
      </c>
      <c r="Y239" s="232">
        <v>0</v>
      </c>
      <c r="Z239" s="234">
        <v>1.4E-2</v>
      </c>
      <c r="AA239" s="232">
        <v>136</v>
      </c>
      <c r="AB239" s="232">
        <v>96</v>
      </c>
      <c r="AC239" s="232" t="s">
        <v>566</v>
      </c>
      <c r="AD239" s="232" t="s">
        <v>566</v>
      </c>
      <c r="AE239" s="430">
        <v>0</v>
      </c>
    </row>
    <row r="240" spans="1:31" x14ac:dyDescent="0.25">
      <c r="A240" s="108">
        <v>5819</v>
      </c>
      <c r="B240" s="226" t="s">
        <v>332</v>
      </c>
      <c r="C240" s="368">
        <v>464</v>
      </c>
      <c r="D240" s="371">
        <v>69</v>
      </c>
      <c r="E240" s="235">
        <v>1</v>
      </c>
      <c r="F240" s="231">
        <v>633092.22</v>
      </c>
      <c r="G240" s="232">
        <v>196240.06</v>
      </c>
      <c r="H240" s="232">
        <v>32501.9</v>
      </c>
      <c r="I240" s="232">
        <v>5808.75</v>
      </c>
      <c r="J240" s="232">
        <v>0</v>
      </c>
      <c r="K240" s="232">
        <v>18092.400000000001</v>
      </c>
      <c r="L240" s="232">
        <v>-112325.37</v>
      </c>
      <c r="M240" s="232"/>
      <c r="N240" s="425">
        <f>Paramètres!$K$20/(Données!$H$302+Données!$I$302)*(Données!H240+Données!I240)</f>
        <v>3642.4677303217736</v>
      </c>
      <c r="O240" s="232">
        <v>105245.27</v>
      </c>
      <c r="P240" s="232">
        <v>12069.22</v>
      </c>
      <c r="Q240" s="232">
        <v>2259.15</v>
      </c>
      <c r="R240" s="232">
        <v>-94.65</v>
      </c>
      <c r="S240" s="232">
        <v>8667.35</v>
      </c>
      <c r="T240" s="232">
        <v>0</v>
      </c>
      <c r="U240" s="232">
        <v>14739.8</v>
      </c>
      <c r="V240" s="232">
        <v>6201.35</v>
      </c>
      <c r="W240" s="233">
        <f t="shared" si="3"/>
        <v>926139.91773032187</v>
      </c>
      <c r="X240" s="232">
        <v>252</v>
      </c>
      <c r="Y240" s="232">
        <v>0</v>
      </c>
      <c r="Z240" s="234">
        <v>0.107</v>
      </c>
      <c r="AA240" s="232">
        <v>70</v>
      </c>
      <c r="AB240" s="232">
        <v>70</v>
      </c>
      <c r="AC240" s="232" t="s">
        <v>566</v>
      </c>
      <c r="AD240" s="232" t="s">
        <v>566</v>
      </c>
      <c r="AE240" s="430">
        <v>0</v>
      </c>
    </row>
    <row r="241" spans="1:31" x14ac:dyDescent="0.25">
      <c r="A241" s="108">
        <v>5821</v>
      </c>
      <c r="B241" s="226" t="s">
        <v>333</v>
      </c>
      <c r="C241" s="368">
        <v>379</v>
      </c>
      <c r="D241" s="371">
        <v>69</v>
      </c>
      <c r="E241" s="235">
        <v>1</v>
      </c>
      <c r="F241" s="231">
        <v>501688.86</v>
      </c>
      <c r="G241" s="232">
        <v>72533.070000000007</v>
      </c>
      <c r="H241" s="232">
        <v>6046.9</v>
      </c>
      <c r="I241" s="232">
        <v>1247.1500000000001</v>
      </c>
      <c r="J241" s="232">
        <v>0</v>
      </c>
      <c r="K241" s="232">
        <v>0</v>
      </c>
      <c r="L241" s="232">
        <v>-13213.06</v>
      </c>
      <c r="M241" s="232"/>
      <c r="N241" s="425">
        <f>Paramètres!$K$20/(Données!$H$302+Données!$I$302)*(Données!H241+Données!I241)</f>
        <v>693.49754567864363</v>
      </c>
      <c r="O241" s="232">
        <v>55814.6</v>
      </c>
      <c r="P241" s="232">
        <v>17590.46</v>
      </c>
      <c r="Q241" s="232">
        <v>1460</v>
      </c>
      <c r="R241" s="232">
        <v>-53.95</v>
      </c>
      <c r="S241" s="232">
        <v>44968.7</v>
      </c>
      <c r="T241" s="232">
        <v>0</v>
      </c>
      <c r="U241" s="232">
        <v>25576.400000000001</v>
      </c>
      <c r="V241" s="232">
        <v>0</v>
      </c>
      <c r="W241" s="233">
        <f t="shared" si="3"/>
        <v>714352.62754567852</v>
      </c>
      <c r="X241" s="232">
        <v>301</v>
      </c>
      <c r="Y241" s="232">
        <v>0</v>
      </c>
      <c r="Z241" s="234">
        <v>0.02</v>
      </c>
      <c r="AA241" s="232">
        <v>64</v>
      </c>
      <c r="AB241" s="232">
        <v>64</v>
      </c>
      <c r="AC241" s="232" t="s">
        <v>566</v>
      </c>
      <c r="AD241" s="232" t="s">
        <v>566</v>
      </c>
      <c r="AE241" s="430">
        <v>0</v>
      </c>
    </row>
    <row r="242" spans="1:31" x14ac:dyDescent="0.25">
      <c r="A242" s="108">
        <v>5822</v>
      </c>
      <c r="B242" s="226" t="s">
        <v>104</v>
      </c>
      <c r="C242" s="368">
        <v>10972</v>
      </c>
      <c r="D242" s="371">
        <v>70</v>
      </c>
      <c r="E242" s="235">
        <v>1</v>
      </c>
      <c r="F242" s="231">
        <v>12502391.800000001</v>
      </c>
      <c r="G242" s="232">
        <v>1499607.85</v>
      </c>
      <c r="H242" s="232">
        <v>1173061.7</v>
      </c>
      <c r="I242" s="232">
        <v>74919</v>
      </c>
      <c r="J242" s="232">
        <v>0</v>
      </c>
      <c r="K242" s="232">
        <v>124148.82</v>
      </c>
      <c r="L242" s="232">
        <v>-519176.57999999996</v>
      </c>
      <c r="M242" s="232"/>
      <c r="N242" s="425">
        <f>Paramètres!$K$20/(Données!$H$302+Données!$I$302)*(Données!H242+Données!I242)</f>
        <v>118654.45842903678</v>
      </c>
      <c r="O242" s="232">
        <v>1741289.15</v>
      </c>
      <c r="P242" s="232">
        <v>934648.48</v>
      </c>
      <c r="Q242" s="232">
        <v>34846.699999999997</v>
      </c>
      <c r="R242" s="232">
        <v>-1932.3</v>
      </c>
      <c r="S242" s="232">
        <v>1404733.2</v>
      </c>
      <c r="T242" s="232">
        <v>186924.2</v>
      </c>
      <c r="U242" s="232">
        <v>470439.4</v>
      </c>
      <c r="V242" s="232">
        <v>328790.7</v>
      </c>
      <c r="W242" s="233">
        <f t="shared" si="3"/>
        <v>20073346.578429032</v>
      </c>
      <c r="X242" s="232">
        <v>2376</v>
      </c>
      <c r="Y242" s="232">
        <v>0</v>
      </c>
      <c r="Z242" s="234">
        <v>3.1E-2</v>
      </c>
      <c r="AA242" s="232">
        <v>1441</v>
      </c>
      <c r="AB242" s="232">
        <v>36</v>
      </c>
      <c r="AC242" s="232">
        <v>643891</v>
      </c>
      <c r="AD242" s="232">
        <v>0</v>
      </c>
      <c r="AE242" s="430">
        <v>0</v>
      </c>
    </row>
    <row r="243" spans="1:31" x14ac:dyDescent="0.25">
      <c r="A243" s="108">
        <v>5827</v>
      </c>
      <c r="B243" s="226" t="s">
        <v>334</v>
      </c>
      <c r="C243" s="368">
        <v>305</v>
      </c>
      <c r="D243" s="371">
        <v>78</v>
      </c>
      <c r="E243" s="235">
        <v>1</v>
      </c>
      <c r="F243" s="231">
        <v>532845.63</v>
      </c>
      <c r="G243" s="232">
        <v>66536.789999999994</v>
      </c>
      <c r="H243" s="232">
        <v>8060.8</v>
      </c>
      <c r="I243" s="232">
        <v>1456.05</v>
      </c>
      <c r="J243" s="232">
        <v>0</v>
      </c>
      <c r="K243" s="232">
        <v>0</v>
      </c>
      <c r="L243" s="232">
        <v>-19810.84</v>
      </c>
      <c r="M243" s="232"/>
      <c r="N243" s="425">
        <f>Paramètres!$K$20/(Données!$H$302+Données!$I$302)*(Données!H243+Données!I243)</f>
        <v>904.83505289815673</v>
      </c>
      <c r="O243" s="232">
        <v>48146.7</v>
      </c>
      <c r="P243" s="232">
        <v>10134.370000000001</v>
      </c>
      <c r="Q243" s="232">
        <v>1659.35</v>
      </c>
      <c r="R243" s="232">
        <v>0</v>
      </c>
      <c r="S243" s="232">
        <v>9155.2999999999993</v>
      </c>
      <c r="T243" s="232">
        <v>37753.599999999999</v>
      </c>
      <c r="U243" s="232">
        <v>2843.3</v>
      </c>
      <c r="V243" s="232">
        <v>0</v>
      </c>
      <c r="W243" s="233">
        <f t="shared" si="3"/>
        <v>699685.88505289832</v>
      </c>
      <c r="X243" s="232">
        <v>372</v>
      </c>
      <c r="Y243" s="232">
        <v>0</v>
      </c>
      <c r="Z243" s="234">
        <v>7.1999999999999995E-2</v>
      </c>
      <c r="AA243" s="232">
        <v>35</v>
      </c>
      <c r="AB243" s="232">
        <v>35</v>
      </c>
      <c r="AC243" s="232" t="s">
        <v>566</v>
      </c>
      <c r="AD243" s="232" t="s">
        <v>566</v>
      </c>
      <c r="AE243" s="430">
        <v>0</v>
      </c>
    </row>
    <row r="244" spans="1:31" x14ac:dyDescent="0.25">
      <c r="A244" s="108">
        <v>5828</v>
      </c>
      <c r="B244" s="226" t="s">
        <v>335</v>
      </c>
      <c r="C244" s="368">
        <v>108</v>
      </c>
      <c r="D244" s="371">
        <v>81.5</v>
      </c>
      <c r="E244" s="235">
        <v>1.5</v>
      </c>
      <c r="F244" s="231">
        <v>189714.39</v>
      </c>
      <c r="G244" s="232">
        <v>76480.61</v>
      </c>
      <c r="H244" s="232">
        <v>-34.799999999999997</v>
      </c>
      <c r="I244" s="232">
        <v>923.45</v>
      </c>
      <c r="J244" s="232">
        <v>0</v>
      </c>
      <c r="K244" s="232">
        <v>1736.93</v>
      </c>
      <c r="L244" s="232">
        <v>-1907.78</v>
      </c>
      <c r="M244" s="232"/>
      <c r="N244" s="425">
        <f>Paramètres!$K$20/(Données!$H$302+Données!$I$302)*(Données!H244+Données!I244)</f>
        <v>84.490316623457034</v>
      </c>
      <c r="O244" s="232">
        <v>29128.799999999999</v>
      </c>
      <c r="P244" s="232">
        <v>0</v>
      </c>
      <c r="Q244" s="232">
        <v>0</v>
      </c>
      <c r="R244" s="232">
        <v>-145.15</v>
      </c>
      <c r="S244" s="232">
        <v>3052.5</v>
      </c>
      <c r="T244" s="232">
        <v>32</v>
      </c>
      <c r="U244" s="232">
        <v>14511.45</v>
      </c>
      <c r="V244" s="232">
        <v>0</v>
      </c>
      <c r="W244" s="233">
        <f t="shared" si="3"/>
        <v>313576.89031662344</v>
      </c>
      <c r="X244" s="232">
        <v>310</v>
      </c>
      <c r="Y244" s="232">
        <v>0</v>
      </c>
      <c r="Z244" s="234">
        <v>0.04</v>
      </c>
      <c r="AA244" s="232">
        <v>7</v>
      </c>
      <c r="AB244" s="232">
        <v>6</v>
      </c>
      <c r="AC244" s="232" t="s">
        <v>566</v>
      </c>
      <c r="AD244" s="232" t="s">
        <v>566</v>
      </c>
      <c r="AE244" s="430">
        <v>0</v>
      </c>
    </row>
    <row r="245" spans="1:31" x14ac:dyDescent="0.25">
      <c r="A245" s="108">
        <v>5830</v>
      </c>
      <c r="B245" s="226" t="s">
        <v>336</v>
      </c>
      <c r="C245" s="368">
        <v>522</v>
      </c>
      <c r="D245" s="371">
        <v>75</v>
      </c>
      <c r="E245" s="235">
        <v>1</v>
      </c>
      <c r="F245" s="231">
        <v>828635.36</v>
      </c>
      <c r="G245" s="232">
        <v>143066.85</v>
      </c>
      <c r="H245" s="232">
        <v>3589.5</v>
      </c>
      <c r="I245" s="232">
        <v>1088.05</v>
      </c>
      <c r="J245" s="232">
        <v>0</v>
      </c>
      <c r="K245" s="232">
        <v>0</v>
      </c>
      <c r="L245" s="232">
        <v>-18834.8</v>
      </c>
      <c r="M245" s="232"/>
      <c r="N245" s="425">
        <f>Paramètres!$K$20/(Données!$H$302+Données!$I$302)*(Données!H245+Données!I245)</f>
        <v>444.72816128065205</v>
      </c>
      <c r="O245" s="232">
        <v>72664.399999999994</v>
      </c>
      <c r="P245" s="232">
        <v>17290.55</v>
      </c>
      <c r="Q245" s="232">
        <v>1561.7</v>
      </c>
      <c r="R245" s="232">
        <v>-55.75</v>
      </c>
      <c r="S245" s="232">
        <v>70932.3</v>
      </c>
      <c r="T245" s="232">
        <v>0</v>
      </c>
      <c r="U245" s="232">
        <v>30170.15</v>
      </c>
      <c r="V245" s="232">
        <v>6245.55</v>
      </c>
      <c r="W245" s="233">
        <f t="shared" si="3"/>
        <v>1156798.5881612806</v>
      </c>
      <c r="X245" s="232">
        <v>769</v>
      </c>
      <c r="Y245" s="232">
        <v>28</v>
      </c>
      <c r="Z245" s="234">
        <v>9.1999999999999998E-2</v>
      </c>
      <c r="AA245" s="232">
        <v>72</v>
      </c>
      <c r="AB245" s="232">
        <v>72</v>
      </c>
      <c r="AC245" s="232" t="s">
        <v>566</v>
      </c>
      <c r="AD245" s="232" t="s">
        <v>566</v>
      </c>
      <c r="AE245" s="430">
        <v>0</v>
      </c>
    </row>
    <row r="246" spans="1:31" x14ac:dyDescent="0.25">
      <c r="A246" s="108">
        <v>5831</v>
      </c>
      <c r="B246" s="226" t="s">
        <v>337</v>
      </c>
      <c r="C246" s="368">
        <v>3416</v>
      </c>
      <c r="D246" s="371">
        <v>70.5</v>
      </c>
      <c r="E246" s="235">
        <v>0.6</v>
      </c>
      <c r="F246" s="231">
        <v>4938826.58</v>
      </c>
      <c r="G246" s="232">
        <v>748374.14</v>
      </c>
      <c r="H246" s="232">
        <v>328471.34999999998</v>
      </c>
      <c r="I246" s="232">
        <v>15517.8</v>
      </c>
      <c r="J246" s="232">
        <v>0</v>
      </c>
      <c r="K246" s="232">
        <v>18070.91</v>
      </c>
      <c r="L246" s="232">
        <v>-89081.78</v>
      </c>
      <c r="M246" s="232"/>
      <c r="N246" s="425">
        <f>Paramètres!$K$20/(Données!$H$302+Données!$I$302)*(Données!H246+Données!I246)</f>
        <v>32705.510829385978</v>
      </c>
      <c r="O246" s="232">
        <v>343361.05</v>
      </c>
      <c r="P246" s="232">
        <v>187925.14</v>
      </c>
      <c r="Q246" s="232">
        <v>37229.800000000003</v>
      </c>
      <c r="R246" s="232">
        <v>-2176.1999999999998</v>
      </c>
      <c r="S246" s="232">
        <v>263375.8</v>
      </c>
      <c r="T246" s="232">
        <v>25884.6</v>
      </c>
      <c r="U246" s="232">
        <v>178840.55</v>
      </c>
      <c r="V246" s="232">
        <v>52345.2</v>
      </c>
      <c r="W246" s="233">
        <f t="shared" si="3"/>
        <v>7079670.4508293839</v>
      </c>
      <c r="X246" s="232">
        <v>3335</v>
      </c>
      <c r="Y246" s="232">
        <v>115</v>
      </c>
      <c r="Z246" s="234">
        <v>7.2999999999999995E-2</v>
      </c>
      <c r="AA246" s="232">
        <v>447</v>
      </c>
      <c r="AB246" s="232">
        <v>267</v>
      </c>
      <c r="AC246" s="232" t="s">
        <v>566</v>
      </c>
      <c r="AD246" s="232" t="s">
        <v>566</v>
      </c>
      <c r="AE246" s="430">
        <v>0</v>
      </c>
    </row>
    <row r="247" spans="1:31" x14ac:dyDescent="0.25">
      <c r="A247" s="108">
        <v>5841</v>
      </c>
      <c r="B247" s="226" t="s">
        <v>101</v>
      </c>
      <c r="C247" s="368">
        <v>3689</v>
      </c>
      <c r="D247" s="371">
        <v>81.5</v>
      </c>
      <c r="E247" s="235">
        <v>1.5</v>
      </c>
      <c r="F247" s="231">
        <v>5969318.5700000003</v>
      </c>
      <c r="G247" s="232">
        <v>2139091.52</v>
      </c>
      <c r="H247" s="232">
        <v>338943.85</v>
      </c>
      <c r="I247" s="232">
        <v>-2494.85</v>
      </c>
      <c r="J247" s="232">
        <v>787830.3</v>
      </c>
      <c r="K247" s="232">
        <v>17642.39</v>
      </c>
      <c r="L247" s="232">
        <v>-51831.58</v>
      </c>
      <c r="M247" s="232"/>
      <c r="N247" s="425">
        <f>Paramètres!$K$20/(Données!$H$302+Données!$I$302)*(Données!H247+Données!I247)</f>
        <v>31988.614795077356</v>
      </c>
      <c r="O247" s="232">
        <v>1693208.05</v>
      </c>
      <c r="P247" s="232">
        <v>521789.34</v>
      </c>
      <c r="Q247" s="232">
        <v>35873.75</v>
      </c>
      <c r="R247" s="232">
        <v>-10120.299999999999</v>
      </c>
      <c r="S247" s="232">
        <v>527569.05000000005</v>
      </c>
      <c r="T247" s="232">
        <v>528079</v>
      </c>
      <c r="U247" s="232">
        <v>542062</v>
      </c>
      <c r="V247" s="232">
        <v>11865.95</v>
      </c>
      <c r="W247" s="233">
        <f t="shared" si="3"/>
        <v>13080815.654795079</v>
      </c>
      <c r="X247" s="232">
        <v>9537</v>
      </c>
      <c r="Y247" s="232">
        <v>3689</v>
      </c>
      <c r="Z247" s="234">
        <v>0.70499999999999996</v>
      </c>
      <c r="AA247" s="232">
        <v>410</v>
      </c>
      <c r="AB247" s="232">
        <v>224</v>
      </c>
      <c r="AC247" s="232" t="s">
        <v>566</v>
      </c>
      <c r="AD247" s="232" t="s">
        <v>566</v>
      </c>
      <c r="AE247" s="430">
        <v>0</v>
      </c>
    </row>
    <row r="248" spans="1:31" x14ac:dyDescent="0.25">
      <c r="A248" s="108">
        <v>5842</v>
      </c>
      <c r="B248" s="226" t="s">
        <v>338</v>
      </c>
      <c r="C248" s="368">
        <v>504</v>
      </c>
      <c r="D248" s="371">
        <v>81</v>
      </c>
      <c r="E248" s="235">
        <v>1.5</v>
      </c>
      <c r="F248" s="231">
        <v>835502.38</v>
      </c>
      <c r="G248" s="232">
        <v>237477.83</v>
      </c>
      <c r="H248" s="232">
        <v>17291.2</v>
      </c>
      <c r="I248" s="232">
        <v>419.2</v>
      </c>
      <c r="J248" s="232">
        <v>46417.1</v>
      </c>
      <c r="K248" s="232">
        <v>0</v>
      </c>
      <c r="L248" s="232">
        <v>-6430.75</v>
      </c>
      <c r="M248" s="232"/>
      <c r="N248" s="425">
        <f>Paramètres!$K$20/(Données!$H$302+Données!$I$302)*(Données!H248+Données!I248)</f>
        <v>1683.8545023665936</v>
      </c>
      <c r="O248" s="232">
        <v>151343.6</v>
      </c>
      <c r="P248" s="232">
        <v>23513.66</v>
      </c>
      <c r="Q248" s="232">
        <v>1119.8499999999999</v>
      </c>
      <c r="R248" s="232">
        <v>-49.45</v>
      </c>
      <c r="S248" s="232">
        <v>66709.899999999994</v>
      </c>
      <c r="T248" s="232">
        <f>1859214.5-1780000</f>
        <v>79214.5</v>
      </c>
      <c r="U248" s="232">
        <v>62810.35</v>
      </c>
      <c r="V248" s="232">
        <v>0</v>
      </c>
      <c r="W248" s="233">
        <f t="shared" si="3"/>
        <v>1517023.2245023667</v>
      </c>
      <c r="X248" s="232">
        <v>2126</v>
      </c>
      <c r="Y248" s="232">
        <v>504</v>
      </c>
      <c r="Z248" s="234">
        <v>0.80800000000000005</v>
      </c>
      <c r="AA248" s="232">
        <v>71</v>
      </c>
      <c r="AB248" s="232">
        <v>54</v>
      </c>
      <c r="AC248" s="232" t="s">
        <v>566</v>
      </c>
      <c r="AD248" s="232" t="s">
        <v>566</v>
      </c>
      <c r="AE248" s="430">
        <v>0</v>
      </c>
    </row>
    <row r="249" spans="1:31" x14ac:dyDescent="0.25">
      <c r="A249" s="108">
        <v>5843</v>
      </c>
      <c r="B249" s="226" t="s">
        <v>339</v>
      </c>
      <c r="C249" s="368">
        <v>805</v>
      </c>
      <c r="D249" s="371">
        <v>79</v>
      </c>
      <c r="E249" s="235">
        <v>1.5</v>
      </c>
      <c r="F249" s="231">
        <v>2176260.46</v>
      </c>
      <c r="G249" s="232">
        <v>2056779.72</v>
      </c>
      <c r="H249" s="232">
        <v>165970.5</v>
      </c>
      <c r="I249" s="232">
        <v>12198.9</v>
      </c>
      <c r="J249" s="232">
        <v>1852536.32</v>
      </c>
      <c r="K249" s="232">
        <v>9506.86</v>
      </c>
      <c r="L249" s="232">
        <v>-75296.83</v>
      </c>
      <c r="M249" s="232"/>
      <c r="N249" s="425">
        <f>Paramètres!$K$20/(Données!$H$302+Données!$I$302)*(Données!H249+Données!I249)</f>
        <v>16939.840227999059</v>
      </c>
      <c r="O249" s="232">
        <v>1329405.3500000001</v>
      </c>
      <c r="P249" s="232">
        <v>146742.51</v>
      </c>
      <c r="Q249" s="232">
        <v>29797.95</v>
      </c>
      <c r="R249" s="232">
        <v>-24160.05</v>
      </c>
      <c r="S249" s="232">
        <f>1007349.85-250000</f>
        <v>757349.85</v>
      </c>
      <c r="T249" s="232">
        <f>527716-250000</f>
        <v>277716</v>
      </c>
      <c r="U249" s="232">
        <f>1315300-350000</f>
        <v>965300</v>
      </c>
      <c r="V249" s="232">
        <v>14723.1</v>
      </c>
      <c r="W249" s="233">
        <f t="shared" si="3"/>
        <v>9711770.4802279994</v>
      </c>
      <c r="X249" s="232">
        <v>4104</v>
      </c>
      <c r="Y249" s="232">
        <v>805</v>
      </c>
      <c r="Z249" s="234">
        <v>0.73799999999999999</v>
      </c>
      <c r="AA249" s="232">
        <v>69</v>
      </c>
      <c r="AB249" s="232">
        <v>69</v>
      </c>
      <c r="AC249" s="232" t="s">
        <v>566</v>
      </c>
      <c r="AD249" s="232" t="s">
        <v>566</v>
      </c>
      <c r="AE249" s="430">
        <v>0</v>
      </c>
    </row>
    <row r="250" spans="1:31" x14ac:dyDescent="0.25">
      <c r="A250" s="108">
        <v>5851</v>
      </c>
      <c r="B250" s="226" t="s">
        <v>340</v>
      </c>
      <c r="C250" s="368">
        <v>412</v>
      </c>
      <c r="D250" s="371">
        <v>65</v>
      </c>
      <c r="E250" s="235">
        <v>1.2</v>
      </c>
      <c r="F250" s="231">
        <v>914740.03</v>
      </c>
      <c r="G250" s="232">
        <v>244111.49</v>
      </c>
      <c r="H250" s="232">
        <v>118893.05</v>
      </c>
      <c r="I250" s="232">
        <v>28178.3</v>
      </c>
      <c r="J250" s="232">
        <v>132954.54999999999</v>
      </c>
      <c r="K250" s="232">
        <v>0.21</v>
      </c>
      <c r="L250" s="232">
        <v>-7757.2</v>
      </c>
      <c r="M250" s="232"/>
      <c r="N250" s="425">
        <f>Paramètres!$K$20/(Données!$H$302+Données!$I$302)*(Données!H250+Données!I250)</f>
        <v>13983.126008821546</v>
      </c>
      <c r="O250" s="232">
        <v>277137.40000000002</v>
      </c>
      <c r="P250" s="232">
        <v>58250.52</v>
      </c>
      <c r="Q250" s="232">
        <v>52374.85</v>
      </c>
      <c r="R250" s="232">
        <v>-1371.05</v>
      </c>
      <c r="S250" s="232">
        <v>88000</v>
      </c>
      <c r="T250" s="232">
        <v>180933.8</v>
      </c>
      <c r="U250" s="232">
        <v>0</v>
      </c>
      <c r="V250" s="232">
        <v>50231.25</v>
      </c>
      <c r="W250" s="233">
        <f t="shared" si="3"/>
        <v>2150660.3260088218</v>
      </c>
      <c r="X250" s="232">
        <v>256</v>
      </c>
      <c r="Y250" s="232">
        <v>0</v>
      </c>
      <c r="Z250" s="234">
        <v>3.3000000000000002E-2</v>
      </c>
      <c r="AA250" s="232">
        <v>29</v>
      </c>
      <c r="AB250" s="232">
        <v>20</v>
      </c>
      <c r="AC250" s="232" t="s">
        <v>566</v>
      </c>
      <c r="AD250" s="232" t="s">
        <v>566</v>
      </c>
      <c r="AE250" s="430">
        <v>0</v>
      </c>
    </row>
    <row r="251" spans="1:31" x14ac:dyDescent="0.25">
      <c r="A251" s="108">
        <v>5852</v>
      </c>
      <c r="B251" s="226" t="s">
        <v>341</v>
      </c>
      <c r="C251" s="368">
        <v>535</v>
      </c>
      <c r="D251" s="371">
        <v>62</v>
      </c>
      <c r="E251" s="235">
        <v>0.75</v>
      </c>
      <c r="F251" s="231">
        <v>1428499.96</v>
      </c>
      <c r="G251" s="232">
        <v>681083.3</v>
      </c>
      <c r="H251" s="232">
        <v>22612.400000000001</v>
      </c>
      <c r="I251" s="232">
        <v>1238.25</v>
      </c>
      <c r="J251" s="232">
        <v>578305.15</v>
      </c>
      <c r="K251" s="232">
        <v>0</v>
      </c>
      <c r="L251" s="232">
        <v>-9167.2099999999991</v>
      </c>
      <c r="M251" s="232"/>
      <c r="N251" s="425">
        <f>Paramètres!$K$20/(Données!$H$302+Données!$I$302)*(Données!H251+Données!I251)</f>
        <v>2267.6520229283242</v>
      </c>
      <c r="O251" s="232">
        <v>155374.95000000001</v>
      </c>
      <c r="P251" s="232">
        <v>38533.879999999997</v>
      </c>
      <c r="Q251" s="232">
        <v>10783.85</v>
      </c>
      <c r="R251" s="232">
        <v>-16500.2</v>
      </c>
      <c r="S251" s="232">
        <v>155760</v>
      </c>
      <c r="T251" s="232">
        <v>0</v>
      </c>
      <c r="U251" s="232">
        <v>64723.65</v>
      </c>
      <c r="V251" s="232">
        <v>11915.25</v>
      </c>
      <c r="W251" s="233">
        <f t="shared" si="3"/>
        <v>3125430.882022928</v>
      </c>
      <c r="X251" s="232">
        <v>180</v>
      </c>
      <c r="Y251" s="232">
        <v>0</v>
      </c>
      <c r="Z251" s="234">
        <v>1.2999999999999999E-2</v>
      </c>
      <c r="AA251" s="232">
        <v>61</v>
      </c>
      <c r="AB251" s="232">
        <v>43</v>
      </c>
      <c r="AC251" s="232" t="s">
        <v>566</v>
      </c>
      <c r="AD251" s="232" t="s">
        <v>566</v>
      </c>
      <c r="AE251" s="430">
        <v>0</v>
      </c>
    </row>
    <row r="252" spans="1:31" x14ac:dyDescent="0.25">
      <c r="A252" s="108">
        <v>5853</v>
      </c>
      <c r="B252" s="226" t="s">
        <v>342</v>
      </c>
      <c r="C252" s="368">
        <v>831</v>
      </c>
      <c r="D252" s="371">
        <v>71</v>
      </c>
      <c r="E252" s="235">
        <v>1</v>
      </c>
      <c r="F252" s="231">
        <v>2305547.2599999998</v>
      </c>
      <c r="G252" s="232">
        <v>507707.05</v>
      </c>
      <c r="H252" s="232">
        <v>17606.900000000001</v>
      </c>
      <c r="I252" s="232">
        <v>3184.7</v>
      </c>
      <c r="J252" s="232">
        <v>123857.11</v>
      </c>
      <c r="K252" s="232">
        <v>434.27</v>
      </c>
      <c r="L252" s="232">
        <v>-28745.83</v>
      </c>
      <c r="M252" s="232"/>
      <c r="N252" s="425">
        <f>Paramètres!$K$20/(Données!$H$302+Données!$I$302)*(Données!H252+Données!I252)</f>
        <v>1976.8062421743873</v>
      </c>
      <c r="O252" s="232">
        <v>235746.4</v>
      </c>
      <c r="P252" s="232">
        <v>44336.67</v>
      </c>
      <c r="Q252" s="232">
        <v>10650</v>
      </c>
      <c r="R252" s="232">
        <v>-1967.1</v>
      </c>
      <c r="S252" s="232">
        <v>148614.25</v>
      </c>
      <c r="T252" s="232">
        <v>6077.2</v>
      </c>
      <c r="U252" s="232">
        <v>235430.55</v>
      </c>
      <c r="V252" s="232">
        <v>120423.95</v>
      </c>
      <c r="W252" s="233">
        <f t="shared" si="3"/>
        <v>3730880.1862421739</v>
      </c>
      <c r="X252" s="232">
        <v>340</v>
      </c>
      <c r="Y252" s="232">
        <v>0</v>
      </c>
      <c r="Z252" s="234">
        <v>0.224</v>
      </c>
      <c r="AA252" s="232">
        <v>104</v>
      </c>
      <c r="AB252" s="232">
        <v>66</v>
      </c>
      <c r="AC252" s="232" t="s">
        <v>566</v>
      </c>
      <c r="AD252" s="232" t="s">
        <v>566</v>
      </c>
      <c r="AE252" s="430">
        <v>0</v>
      </c>
    </row>
    <row r="253" spans="1:31" x14ac:dyDescent="0.25">
      <c r="A253" s="108">
        <v>5854</v>
      </c>
      <c r="B253" s="226" t="s">
        <v>343</v>
      </c>
      <c r="C253" s="368">
        <v>406</v>
      </c>
      <c r="D253" s="371">
        <v>75</v>
      </c>
      <c r="E253" s="235">
        <v>1.5</v>
      </c>
      <c r="F253" s="231">
        <v>813609.52</v>
      </c>
      <c r="G253" s="232">
        <v>205566.61</v>
      </c>
      <c r="H253" s="232">
        <v>19109.2</v>
      </c>
      <c r="I253" s="232">
        <v>2850.85</v>
      </c>
      <c r="J253" s="232">
        <v>0</v>
      </c>
      <c r="K253" s="232">
        <v>0</v>
      </c>
      <c r="L253" s="232">
        <v>-676.3</v>
      </c>
      <c r="M253" s="232"/>
      <c r="N253" s="425">
        <f>Paramètres!$K$20/(Données!$H$302+Données!$I$302)*(Données!H253+Données!I253)</f>
        <v>2087.8991476587489</v>
      </c>
      <c r="O253" s="232">
        <v>121668.95</v>
      </c>
      <c r="P253" s="232">
        <v>10158.450000000001</v>
      </c>
      <c r="Q253" s="232">
        <v>3438.95</v>
      </c>
      <c r="R253" s="232">
        <v>-939.2</v>
      </c>
      <c r="S253" s="232">
        <v>48954.1</v>
      </c>
      <c r="T253" s="232">
        <v>0</v>
      </c>
      <c r="U253" s="232">
        <v>35153.85</v>
      </c>
      <c r="V253" s="232">
        <v>13589.8</v>
      </c>
      <c r="W253" s="233">
        <f t="shared" si="3"/>
        <v>1274572.6791476589</v>
      </c>
      <c r="X253" s="232">
        <v>561</v>
      </c>
      <c r="Y253" s="232">
        <v>292</v>
      </c>
      <c r="Z253" s="234">
        <v>6.3E-2</v>
      </c>
      <c r="AA253" s="232">
        <v>48</v>
      </c>
      <c r="AB253" s="232">
        <v>48</v>
      </c>
      <c r="AC253" s="232" t="s">
        <v>566</v>
      </c>
      <c r="AD253" s="232" t="s">
        <v>566</v>
      </c>
      <c r="AE253" s="430">
        <v>0</v>
      </c>
    </row>
    <row r="254" spans="1:31" x14ac:dyDescent="0.25">
      <c r="A254" s="108">
        <v>5855</v>
      </c>
      <c r="B254" s="226" t="s">
        <v>344</v>
      </c>
      <c r="C254" s="368">
        <v>637</v>
      </c>
      <c r="D254" s="371">
        <v>53</v>
      </c>
      <c r="E254" s="235">
        <v>1</v>
      </c>
      <c r="F254" s="231">
        <f>2731460.41-335000</f>
        <v>2396460.41</v>
      </c>
      <c r="G254" s="232">
        <v>1253128.96</v>
      </c>
      <c r="H254" s="232">
        <v>69610.5</v>
      </c>
      <c r="I254" s="232">
        <v>28500.75</v>
      </c>
      <c r="J254" s="232">
        <v>1184109.8999999999</v>
      </c>
      <c r="K254" s="232">
        <v>306.20999999999998</v>
      </c>
      <c r="L254" s="232">
        <v>-2317.08</v>
      </c>
      <c r="M254" s="232"/>
      <c r="N254" s="425">
        <f>Paramètres!$K$20/(Données!$H$302+Données!$I$302)*(Données!H254+Données!I254)</f>
        <v>9328.1388362382804</v>
      </c>
      <c r="O254" s="232">
        <v>398228.7</v>
      </c>
      <c r="P254" s="232">
        <v>13016.96</v>
      </c>
      <c r="Q254" s="232">
        <v>10838.5</v>
      </c>
      <c r="R254" s="232">
        <v>-24041.3</v>
      </c>
      <c r="S254" s="232">
        <v>190740</v>
      </c>
      <c r="T254" s="232">
        <v>0</v>
      </c>
      <c r="U254" s="232">
        <v>284589.59999999998</v>
      </c>
      <c r="V254" s="232">
        <v>5621.05</v>
      </c>
      <c r="W254" s="233">
        <f t="shared" si="3"/>
        <v>5818121.2988362378</v>
      </c>
      <c r="X254" s="232">
        <v>163</v>
      </c>
      <c r="Y254" s="232">
        <v>0</v>
      </c>
      <c r="Z254" s="234">
        <v>6.3E-2</v>
      </c>
      <c r="AA254" s="232">
        <v>56</v>
      </c>
      <c r="AB254" s="232">
        <v>36</v>
      </c>
      <c r="AC254" s="232" t="s">
        <v>566</v>
      </c>
      <c r="AD254" s="232" t="s">
        <v>566</v>
      </c>
      <c r="AE254" s="430">
        <v>0</v>
      </c>
    </row>
    <row r="255" spans="1:31" x14ac:dyDescent="0.25">
      <c r="A255" s="108">
        <v>5856</v>
      </c>
      <c r="B255" s="226" t="s">
        <v>345</v>
      </c>
      <c r="C255" s="368">
        <v>770</v>
      </c>
      <c r="D255" s="371">
        <v>66.5</v>
      </c>
      <c r="E255" s="235">
        <v>1.3</v>
      </c>
      <c r="F255" s="231">
        <v>1945150.88</v>
      </c>
      <c r="G255" s="232">
        <v>337862.66</v>
      </c>
      <c r="H255" s="232">
        <v>31077.4</v>
      </c>
      <c r="I255" s="232">
        <v>2076.15</v>
      </c>
      <c r="J255" s="232">
        <v>286562.2</v>
      </c>
      <c r="K255" s="232">
        <v>0</v>
      </c>
      <c r="L255" s="232">
        <v>-5261.32</v>
      </c>
      <c r="M255" s="232"/>
      <c r="N255" s="425">
        <f>Paramètres!$K$20/(Données!$H$302+Données!$I$302)*(Données!H255+Données!I255)</f>
        <v>3152.1453178322331</v>
      </c>
      <c r="O255" s="232">
        <v>273390.55</v>
      </c>
      <c r="P255" s="232">
        <v>7226.5</v>
      </c>
      <c r="Q255" s="232">
        <v>3209.5</v>
      </c>
      <c r="R255" s="232">
        <v>-1691.76</v>
      </c>
      <c r="S255" s="232">
        <v>60500</v>
      </c>
      <c r="T255" s="232">
        <v>205.3</v>
      </c>
      <c r="U255" s="232">
        <v>60140.95</v>
      </c>
      <c r="V255" s="232">
        <v>1382.45</v>
      </c>
      <c r="W255" s="233">
        <f t="shared" si="3"/>
        <v>3004983.6053178324</v>
      </c>
      <c r="X255" s="232">
        <v>700</v>
      </c>
      <c r="Y255" s="232">
        <v>139</v>
      </c>
      <c r="Z255" s="234">
        <v>7.0999999999999994E-2</v>
      </c>
      <c r="AA255" s="232">
        <v>110</v>
      </c>
      <c r="AB255" s="232">
        <v>77</v>
      </c>
      <c r="AC255" s="232" t="s">
        <v>566</v>
      </c>
      <c r="AD255" s="232" t="s">
        <v>566</v>
      </c>
      <c r="AE255" s="430">
        <v>0</v>
      </c>
    </row>
    <row r="256" spans="1:31" x14ac:dyDescent="0.25">
      <c r="A256" s="108">
        <v>5857</v>
      </c>
      <c r="B256" s="226" t="s">
        <v>346</v>
      </c>
      <c r="C256" s="368">
        <v>1429</v>
      </c>
      <c r="D256" s="371">
        <v>62.5</v>
      </c>
      <c r="E256" s="235">
        <v>1</v>
      </c>
      <c r="F256" s="231">
        <v>4756392.3899999997</v>
      </c>
      <c r="G256" s="232">
        <v>723448.26</v>
      </c>
      <c r="H256" s="232">
        <v>105761.25</v>
      </c>
      <c r="I256" s="232">
        <v>14898.65</v>
      </c>
      <c r="J256" s="232">
        <v>0</v>
      </c>
      <c r="K256" s="232">
        <v>0</v>
      </c>
      <c r="L256" s="232">
        <v>-21970.71</v>
      </c>
      <c r="M256" s="232"/>
      <c r="N256" s="425">
        <f>Paramètres!$K$20/(Données!$H$302+Données!$I$302)*(Données!H256+Données!I256)</f>
        <v>11472.000399206281</v>
      </c>
      <c r="O256" s="232">
        <v>430958.45</v>
      </c>
      <c r="P256" s="232">
        <v>73608.259999999995</v>
      </c>
      <c r="Q256" s="232">
        <v>15892</v>
      </c>
      <c r="R256" s="232">
        <v>-4117.1499999999996</v>
      </c>
      <c r="S256" s="232">
        <v>232631.85</v>
      </c>
      <c r="T256" s="232">
        <v>32471.200000000001</v>
      </c>
      <c r="U256" s="232">
        <v>229944.85</v>
      </c>
      <c r="V256" s="232">
        <v>83329.350000000006</v>
      </c>
      <c r="W256" s="233">
        <f t="shared" si="3"/>
        <v>6684720.6503992043</v>
      </c>
      <c r="X256" s="232">
        <v>772</v>
      </c>
      <c r="Y256" s="232">
        <v>14</v>
      </c>
      <c r="Z256" s="234">
        <v>0.22800000000000001</v>
      </c>
      <c r="AA256" s="232">
        <v>157</v>
      </c>
      <c r="AB256" s="232">
        <v>72</v>
      </c>
      <c r="AC256" s="232" t="s">
        <v>566</v>
      </c>
      <c r="AD256" s="232" t="s">
        <v>566</v>
      </c>
      <c r="AE256" s="430">
        <v>0</v>
      </c>
    </row>
    <row r="257" spans="1:31" x14ac:dyDescent="0.25">
      <c r="A257" s="108">
        <v>5858</v>
      </c>
      <c r="B257" s="226" t="s">
        <v>347</v>
      </c>
      <c r="C257" s="368">
        <v>640</v>
      </c>
      <c r="D257" s="371">
        <v>58.5</v>
      </c>
      <c r="E257" s="235">
        <v>1.5</v>
      </c>
      <c r="F257" s="231">
        <v>1601381.86</v>
      </c>
      <c r="G257" s="232">
        <v>225262.45</v>
      </c>
      <c r="H257" s="232">
        <v>70035.399999999994</v>
      </c>
      <c r="I257" s="232">
        <v>1483.1</v>
      </c>
      <c r="J257" s="232">
        <v>41895.949999999997</v>
      </c>
      <c r="K257" s="232">
        <v>59.21</v>
      </c>
      <c r="L257" s="232">
        <v>-1651.76</v>
      </c>
      <c r="M257" s="232"/>
      <c r="N257" s="425">
        <f>Paramètres!$K$20/(Données!$H$302+Données!$I$302)*(Données!H257+Données!I257)</f>
        <v>6799.7757378435954</v>
      </c>
      <c r="O257" s="232">
        <v>255898.45</v>
      </c>
      <c r="P257" s="232">
        <v>72760.100000000006</v>
      </c>
      <c r="Q257" s="232">
        <v>1765.8</v>
      </c>
      <c r="R257" s="232">
        <v>-3365.27</v>
      </c>
      <c r="S257" s="232">
        <v>268802.09999999998</v>
      </c>
      <c r="T257" s="232">
        <v>0</v>
      </c>
      <c r="U257" s="232">
        <v>201946.25</v>
      </c>
      <c r="V257" s="232">
        <v>6228.5</v>
      </c>
      <c r="W257" s="233">
        <f t="shared" si="3"/>
        <v>2749301.9157378436</v>
      </c>
      <c r="X257" s="232">
        <v>262</v>
      </c>
      <c r="Y257" s="232">
        <v>0</v>
      </c>
      <c r="Z257" s="234">
        <v>7.3999999999999996E-2</v>
      </c>
      <c r="AA257" s="232">
        <v>79</v>
      </c>
      <c r="AB257" s="232">
        <v>70</v>
      </c>
      <c r="AC257" s="232" t="s">
        <v>566</v>
      </c>
      <c r="AD257" s="232" t="s">
        <v>566</v>
      </c>
      <c r="AE257" s="430">
        <v>0</v>
      </c>
    </row>
    <row r="258" spans="1:31" x14ac:dyDescent="0.25">
      <c r="A258" s="108">
        <v>5859</v>
      </c>
      <c r="B258" s="226" t="s">
        <v>348</v>
      </c>
      <c r="C258" s="368">
        <v>2759</v>
      </c>
      <c r="D258" s="371">
        <v>62</v>
      </c>
      <c r="E258" s="235">
        <v>1</v>
      </c>
      <c r="F258" s="231">
        <v>8250171.3200000003</v>
      </c>
      <c r="G258" s="232">
        <v>1858134.11</v>
      </c>
      <c r="H258" s="232">
        <v>114478.75</v>
      </c>
      <c r="I258" s="232">
        <v>32324.05</v>
      </c>
      <c r="J258" s="232">
        <v>524268</v>
      </c>
      <c r="K258" s="232">
        <v>64276.44</v>
      </c>
      <c r="L258" s="232">
        <v>-97322.5</v>
      </c>
      <c r="M258" s="232"/>
      <c r="N258" s="425">
        <f>Paramètres!$K$20/(Données!$H$302+Données!$I$302)*(Données!H258+Données!I258)</f>
        <v>13957.593037990249</v>
      </c>
      <c r="O258" s="232">
        <v>738721.5</v>
      </c>
      <c r="P258" s="232">
        <v>118450.57</v>
      </c>
      <c r="Q258" s="232">
        <v>23452.55</v>
      </c>
      <c r="R258" s="232">
        <v>-21361.599999999999</v>
      </c>
      <c r="S258" s="232">
        <v>686344.2</v>
      </c>
      <c r="T258" s="232">
        <v>118734.2</v>
      </c>
      <c r="U258" s="232">
        <v>392513.9</v>
      </c>
      <c r="V258" s="232">
        <v>122944.4</v>
      </c>
      <c r="W258" s="233">
        <f t="shared" si="3"/>
        <v>12940087.483037991</v>
      </c>
      <c r="X258" s="232">
        <v>385</v>
      </c>
      <c r="Y258" s="232">
        <v>7</v>
      </c>
      <c r="Z258" s="234">
        <v>0.161</v>
      </c>
      <c r="AA258" s="232">
        <v>325</v>
      </c>
      <c r="AB258" s="232">
        <v>20</v>
      </c>
      <c r="AC258" s="232" t="s">
        <v>566</v>
      </c>
      <c r="AD258" s="232" t="s">
        <v>566</v>
      </c>
      <c r="AE258" s="430">
        <v>0</v>
      </c>
    </row>
    <row r="259" spans="1:31" x14ac:dyDescent="0.25">
      <c r="A259" s="108">
        <v>5860</v>
      </c>
      <c r="B259" s="226" t="s">
        <v>349</v>
      </c>
      <c r="C259" s="368">
        <v>1573</v>
      </c>
      <c r="D259" s="371">
        <v>60.5</v>
      </c>
      <c r="E259" s="235">
        <v>1.3</v>
      </c>
      <c r="F259" s="231">
        <v>4650171.42</v>
      </c>
      <c r="G259" s="232">
        <v>1310448.92</v>
      </c>
      <c r="H259" s="232">
        <v>233898.7</v>
      </c>
      <c r="I259" s="232">
        <v>22803.1</v>
      </c>
      <c r="J259" s="232">
        <v>319203.20000000001</v>
      </c>
      <c r="K259" s="232">
        <v>5000.62</v>
      </c>
      <c r="L259" s="232">
        <v>-33310.410000000003</v>
      </c>
      <c r="M259" s="232"/>
      <c r="N259" s="425">
        <f>Paramètres!$K$20/(Données!$H$302+Données!$I$302)*(Données!H259+Données!I259)</f>
        <v>24406.477645655028</v>
      </c>
      <c r="O259" s="232">
        <v>759990.6</v>
      </c>
      <c r="P259" s="232">
        <v>83446.759999999995</v>
      </c>
      <c r="Q259" s="232">
        <v>30646.400000000001</v>
      </c>
      <c r="R259" s="232">
        <v>-46861.35</v>
      </c>
      <c r="S259" s="232">
        <v>249486.2</v>
      </c>
      <c r="T259" s="232">
        <v>37557.5</v>
      </c>
      <c r="U259" s="232">
        <v>160927.75</v>
      </c>
      <c r="V259" s="232">
        <v>53594.5</v>
      </c>
      <c r="W259" s="233">
        <f t="shared" si="3"/>
        <v>7861410.3876456553</v>
      </c>
      <c r="X259" s="232">
        <v>286</v>
      </c>
      <c r="Y259" s="232">
        <v>0</v>
      </c>
      <c r="Z259" s="234">
        <v>6.9000000000000006E-2</v>
      </c>
      <c r="AA259" s="232">
        <v>164</v>
      </c>
      <c r="AB259" s="232">
        <v>78</v>
      </c>
      <c r="AC259" s="232" t="s">
        <v>566</v>
      </c>
      <c r="AD259" s="232" t="s">
        <v>566</v>
      </c>
      <c r="AE259" s="430">
        <v>0</v>
      </c>
    </row>
    <row r="260" spans="1:31" x14ac:dyDescent="0.25">
      <c r="A260" s="108">
        <v>5861</v>
      </c>
      <c r="B260" s="226" t="s">
        <v>350</v>
      </c>
      <c r="C260" s="368">
        <v>6604</v>
      </c>
      <c r="D260" s="371">
        <v>59.5</v>
      </c>
      <c r="E260" s="235">
        <v>1</v>
      </c>
      <c r="F260" s="231">
        <v>14796118.810000001</v>
      </c>
      <c r="G260" s="232">
        <v>2917664.14</v>
      </c>
      <c r="H260" s="232">
        <f>37251108.2-11500000</f>
        <v>25751108.200000003</v>
      </c>
      <c r="I260" s="232">
        <f>937314.2+500000</f>
        <v>1437314.2</v>
      </c>
      <c r="J260" s="232">
        <v>448471.57</v>
      </c>
      <c r="K260" s="232">
        <v>90293.78</v>
      </c>
      <c r="L260" s="232">
        <v>-273928.93</v>
      </c>
      <c r="M260" s="232"/>
      <c r="N260" s="425">
        <f>Paramètres!$K$20/(Données!$H$302+Données!$I$302)*(Données!H260+Données!I260)</f>
        <v>2584997.9373975033</v>
      </c>
      <c r="O260" s="232">
        <v>2013348.1</v>
      </c>
      <c r="P260" s="232">
        <v>744067.87</v>
      </c>
      <c r="Q260" s="232">
        <v>397009.85</v>
      </c>
      <c r="R260" s="232">
        <v>-128760.05</v>
      </c>
      <c r="S260" s="232">
        <v>1329596.2</v>
      </c>
      <c r="T260" s="232">
        <v>454951</v>
      </c>
      <c r="U260" s="232">
        <v>1072925.45</v>
      </c>
      <c r="V260" s="232">
        <v>552070</v>
      </c>
      <c r="W260" s="233">
        <f t="shared" si="3"/>
        <v>54187248.127397522</v>
      </c>
      <c r="X260" s="232">
        <v>268</v>
      </c>
      <c r="Y260" s="232">
        <v>0</v>
      </c>
      <c r="Z260" s="234">
        <v>4.1000000000000002E-2</v>
      </c>
      <c r="AA260" s="232">
        <v>643</v>
      </c>
      <c r="AB260" s="232">
        <v>8</v>
      </c>
      <c r="AC260" s="232">
        <v>354569.1</v>
      </c>
      <c r="AD260" s="232">
        <v>24469</v>
      </c>
      <c r="AE260" s="430">
        <v>0</v>
      </c>
    </row>
    <row r="261" spans="1:31" x14ac:dyDescent="0.25">
      <c r="A261" s="108">
        <v>5862</v>
      </c>
      <c r="B261" s="226" t="s">
        <v>351</v>
      </c>
      <c r="C261" s="368">
        <v>246</v>
      </c>
      <c r="D261" s="371">
        <v>79</v>
      </c>
      <c r="E261" s="235">
        <v>1</v>
      </c>
      <c r="F261" s="231">
        <v>792696.54</v>
      </c>
      <c r="G261" s="232">
        <v>74253.34</v>
      </c>
      <c r="H261" s="232">
        <v>6141.45</v>
      </c>
      <c r="I261" s="232">
        <v>2434.6</v>
      </c>
      <c r="J261" s="232">
        <v>0</v>
      </c>
      <c r="K261" s="232">
        <v>186.91</v>
      </c>
      <c r="L261" s="232">
        <v>-12862.62</v>
      </c>
      <c r="M261" s="232"/>
      <c r="N261" s="425">
        <f>Paramètres!$K$20/(Données!$H$302+Données!$I$302)*(Données!H261+Données!I261)</f>
        <v>815.38646247521353</v>
      </c>
      <c r="O261" s="232">
        <v>54056.800000000003</v>
      </c>
      <c r="P261" s="232">
        <v>-53921.22</v>
      </c>
      <c r="Q261" s="232">
        <v>4105.3</v>
      </c>
      <c r="R261" s="232">
        <v>0</v>
      </c>
      <c r="S261" s="232">
        <v>20790</v>
      </c>
      <c r="T261" s="232">
        <v>822.6</v>
      </c>
      <c r="U261" s="232">
        <v>11378.4</v>
      </c>
      <c r="V261" s="232">
        <v>3880.75</v>
      </c>
      <c r="W261" s="233">
        <f t="shared" si="3"/>
        <v>904778.23646247527</v>
      </c>
      <c r="X261" s="232">
        <v>108</v>
      </c>
      <c r="Y261" s="232">
        <v>0</v>
      </c>
      <c r="Z261" s="234">
        <v>0.221</v>
      </c>
      <c r="AA261" s="232">
        <v>23</v>
      </c>
      <c r="AB261" s="232">
        <v>5</v>
      </c>
      <c r="AC261" s="232" t="s">
        <v>566</v>
      </c>
      <c r="AD261" s="232" t="s">
        <v>566</v>
      </c>
      <c r="AE261" s="430">
        <v>0</v>
      </c>
    </row>
    <row r="262" spans="1:31" x14ac:dyDescent="0.25">
      <c r="A262" s="108">
        <v>5863</v>
      </c>
      <c r="B262" s="226" t="s">
        <v>352</v>
      </c>
      <c r="C262" s="368">
        <v>385</v>
      </c>
      <c r="D262" s="371">
        <v>65</v>
      </c>
      <c r="E262" s="235">
        <v>1</v>
      </c>
      <c r="F262" s="231">
        <v>977896.31</v>
      </c>
      <c r="G262" s="232">
        <v>283325.07</v>
      </c>
      <c r="H262" s="232">
        <v>-916.099999999999</v>
      </c>
      <c r="I262" s="232">
        <v>9078.9500000000007</v>
      </c>
      <c r="J262" s="232">
        <v>38816.35</v>
      </c>
      <c r="K262" s="232">
        <v>0</v>
      </c>
      <c r="L262" s="232">
        <v>-4922.3100000000004</v>
      </c>
      <c r="M262" s="232"/>
      <c r="N262" s="425">
        <f>Paramètres!$K$20/(Données!$H$302+Données!$I$302)*(Données!H262+Données!I262)</f>
        <v>776.10058071207607</v>
      </c>
      <c r="O262" s="232">
        <v>99442.1</v>
      </c>
      <c r="P262" s="232">
        <v>41473.99</v>
      </c>
      <c r="Q262" s="232">
        <v>2397.9</v>
      </c>
      <c r="R262" s="232">
        <v>-8606.7000000000007</v>
      </c>
      <c r="S262" s="232">
        <v>51300.7</v>
      </c>
      <c r="T262" s="232">
        <v>0</v>
      </c>
      <c r="U262" s="232">
        <v>52269.3</v>
      </c>
      <c r="V262" s="232">
        <v>19084.8</v>
      </c>
      <c r="W262" s="233">
        <f t="shared" si="3"/>
        <v>1561416.4605807122</v>
      </c>
      <c r="X262" s="232">
        <v>109</v>
      </c>
      <c r="Y262" s="232">
        <v>0</v>
      </c>
      <c r="Z262" s="234">
        <v>0.152</v>
      </c>
      <c r="AA262" s="232">
        <v>35</v>
      </c>
      <c r="AB262" s="232">
        <v>25</v>
      </c>
      <c r="AC262" s="232" t="s">
        <v>566</v>
      </c>
      <c r="AD262" s="232" t="s">
        <v>566</v>
      </c>
      <c r="AE262" s="430">
        <v>0</v>
      </c>
    </row>
    <row r="263" spans="1:31" x14ac:dyDescent="0.25">
      <c r="A263" s="108">
        <v>5940</v>
      </c>
      <c r="B263" s="226" t="s">
        <v>598</v>
      </c>
      <c r="C263" s="368">
        <v>7317</v>
      </c>
      <c r="D263" s="371">
        <v>66.5</v>
      </c>
      <c r="E263" s="235">
        <v>1</v>
      </c>
      <c r="F263" s="231">
        <v>10833642.093895841</v>
      </c>
      <c r="G263" s="231">
        <v>1864497.4636960796</v>
      </c>
      <c r="H263" s="231">
        <v>13341155.685523052</v>
      </c>
      <c r="I263" s="231">
        <v>30612.153088582731</v>
      </c>
      <c r="J263" s="231">
        <v>0</v>
      </c>
      <c r="K263" s="231">
        <v>50350.625773743959</v>
      </c>
      <c r="L263" s="231">
        <v>-153832.25311990789</v>
      </c>
      <c r="M263" s="231"/>
      <c r="N263" s="425">
        <f>Paramètres!$K$20/(Données!$H$302+Données!$I$302)*(Données!H263+Données!I263)</f>
        <v>1271349.6860402368</v>
      </c>
      <c r="O263" s="231">
        <v>1419680.7999999998</v>
      </c>
      <c r="P263" s="231">
        <v>755302.31</v>
      </c>
      <c r="Q263" s="231">
        <v>87754.65</v>
      </c>
      <c r="R263" s="231">
        <v>-8135.71</v>
      </c>
      <c r="S263" s="231">
        <v>519563.5</v>
      </c>
      <c r="T263" s="231">
        <v>290416.40000000002</v>
      </c>
      <c r="U263" s="231">
        <v>505578.1</v>
      </c>
      <c r="V263" s="231">
        <v>7911515.25</v>
      </c>
      <c r="W263" s="233">
        <f t="shared" si="3"/>
        <v>38719450.754897624</v>
      </c>
      <c r="X263" s="232">
        <v>16105</v>
      </c>
      <c r="Y263" s="232">
        <v>7317</v>
      </c>
      <c r="Z263" s="234">
        <v>0.14099999999999999</v>
      </c>
      <c r="AA263" s="232">
        <v>783</v>
      </c>
      <c r="AB263" s="232">
        <v>287</v>
      </c>
      <c r="AC263" s="232" t="s">
        <v>566</v>
      </c>
      <c r="AD263" s="232" t="s">
        <v>566</v>
      </c>
      <c r="AE263" s="430">
        <v>0</v>
      </c>
    </row>
    <row r="264" spans="1:31" x14ac:dyDescent="0.25">
      <c r="A264" s="108">
        <v>5882</v>
      </c>
      <c r="B264" s="226" t="s">
        <v>356</v>
      </c>
      <c r="C264" s="368">
        <v>3384</v>
      </c>
      <c r="D264" s="371">
        <v>68</v>
      </c>
      <c r="E264" s="235">
        <v>1</v>
      </c>
      <c r="F264" s="231">
        <v>9317767.5199999996</v>
      </c>
      <c r="G264" s="232">
        <v>2275436.88</v>
      </c>
      <c r="H264" s="232">
        <v>29810.05</v>
      </c>
      <c r="I264" s="232">
        <v>24140.9</v>
      </c>
      <c r="J264" s="232">
        <v>578924.05000000005</v>
      </c>
      <c r="K264" s="232">
        <v>29328.77</v>
      </c>
      <c r="L264" s="232">
        <v>-177276.21</v>
      </c>
      <c r="M264" s="232"/>
      <c r="N264" s="425">
        <f>Paramètres!$K$20/(Données!$H$302+Données!$I$302)*(Données!H264+Données!I264)</f>
        <v>5129.5030075241075</v>
      </c>
      <c r="O264" s="232">
        <v>1117550.5900000001</v>
      </c>
      <c r="P264" s="232">
        <v>269612.09999999998</v>
      </c>
      <c r="Q264" s="232">
        <v>76914.3</v>
      </c>
      <c r="R264" s="232">
        <v>-57535.29</v>
      </c>
      <c r="S264" s="232">
        <v>1045281.8</v>
      </c>
      <c r="T264" s="232">
        <v>494327.8</v>
      </c>
      <c r="U264" s="232">
        <v>498208.3</v>
      </c>
      <c r="V264" s="232">
        <v>22753.9</v>
      </c>
      <c r="W264" s="233">
        <f t="shared" si="3"/>
        <v>15550374.963007526</v>
      </c>
      <c r="X264" s="232">
        <v>1024</v>
      </c>
      <c r="Y264" s="232">
        <v>1107</v>
      </c>
      <c r="Z264" s="234">
        <v>0.32900000000000001</v>
      </c>
      <c r="AA264" s="232">
        <v>270</v>
      </c>
      <c r="AB264" s="232">
        <v>85</v>
      </c>
      <c r="AC264" s="232" t="s">
        <v>566</v>
      </c>
      <c r="AD264" s="232" t="s">
        <v>566</v>
      </c>
      <c r="AE264" s="430">
        <v>1</v>
      </c>
    </row>
    <row r="265" spans="1:31" x14ac:dyDescent="0.25">
      <c r="A265" s="108">
        <v>5883</v>
      </c>
      <c r="B265" s="226" t="s">
        <v>357</v>
      </c>
      <c r="C265" s="368">
        <v>2326</v>
      </c>
      <c r="D265" s="371">
        <v>67.5</v>
      </c>
      <c r="E265" s="235">
        <v>1</v>
      </c>
      <c r="F265" s="231">
        <v>9549820.9700000007</v>
      </c>
      <c r="G265" s="232">
        <v>2280272.7400000002</v>
      </c>
      <c r="H265" s="232">
        <v>138250.5</v>
      </c>
      <c r="I265" s="232">
        <v>8245.85</v>
      </c>
      <c r="J265" s="232">
        <v>610460</v>
      </c>
      <c r="K265" s="232">
        <v>6928.09</v>
      </c>
      <c r="L265" s="232">
        <v>-34956.339999999997</v>
      </c>
      <c r="M265" s="232"/>
      <c r="N265" s="425">
        <f>Paramètres!$K$20/(Données!$H$302+Données!$I$302)*(Données!H265+Données!I265)</f>
        <v>13928.456642863646</v>
      </c>
      <c r="O265" s="232">
        <v>765723.35</v>
      </c>
      <c r="P265" s="232">
        <v>-2405.46</v>
      </c>
      <c r="Q265" s="232">
        <v>20965.3</v>
      </c>
      <c r="R265" s="232">
        <v>-40695.089999999997</v>
      </c>
      <c r="S265" s="232">
        <v>667868.85</v>
      </c>
      <c r="T265" s="232">
        <v>135276.29999999999</v>
      </c>
      <c r="U265" s="232">
        <v>465909.15</v>
      </c>
      <c r="V265" s="232">
        <v>8048.45</v>
      </c>
      <c r="W265" s="233">
        <f t="shared" ref="W265:W301" si="4">SUM(F265:V265)</f>
        <v>14593641.116642864</v>
      </c>
      <c r="X265" s="232">
        <v>106</v>
      </c>
      <c r="Y265" s="232">
        <v>0</v>
      </c>
      <c r="Z265" s="234">
        <v>0.22500000000000001</v>
      </c>
      <c r="AA265" s="232">
        <v>198</v>
      </c>
      <c r="AB265" s="232">
        <v>3</v>
      </c>
      <c r="AC265" s="232">
        <v>328763.90000000002</v>
      </c>
      <c r="AD265" s="232">
        <v>-33812.300000000003</v>
      </c>
      <c r="AE265" s="430">
        <v>1</v>
      </c>
    </row>
    <row r="266" spans="1:31" x14ac:dyDescent="0.25">
      <c r="A266" s="108">
        <v>5884</v>
      </c>
      <c r="B266" s="226" t="s">
        <v>358</v>
      </c>
      <c r="C266" s="368">
        <v>3458</v>
      </c>
      <c r="D266" s="371">
        <v>64.5</v>
      </c>
      <c r="E266" s="235">
        <v>1.2</v>
      </c>
      <c r="F266" s="231">
        <v>5347561.92</v>
      </c>
      <c r="G266" s="232">
        <v>898962.83</v>
      </c>
      <c r="H266" s="232">
        <f>7728833.9-2375000</f>
        <v>5353833.9000000004</v>
      </c>
      <c r="I266" s="232">
        <v>63397.8</v>
      </c>
      <c r="J266" s="232">
        <v>33544.35</v>
      </c>
      <c r="K266" s="232">
        <v>12755.77</v>
      </c>
      <c r="L266" s="232">
        <v>-70591.759999999995</v>
      </c>
      <c r="M266" s="232"/>
      <c r="N266" s="425">
        <f>Paramètres!$K$20/(Données!$H$302+Données!$I$302)*(Données!H266+Données!I266)</f>
        <v>515054.99528006342</v>
      </c>
      <c r="O266" s="232">
        <v>1026324.95</v>
      </c>
      <c r="P266" s="232">
        <v>131665.13</v>
      </c>
      <c r="Q266" s="232">
        <v>196337.9</v>
      </c>
      <c r="R266" s="232">
        <v>-1905.41</v>
      </c>
      <c r="S266" s="232">
        <v>413778.8</v>
      </c>
      <c r="T266" s="232">
        <v>270227</v>
      </c>
      <c r="U266" s="232">
        <v>387349.65</v>
      </c>
      <c r="V266" s="232">
        <v>607157.65</v>
      </c>
      <c r="W266" s="233">
        <f t="shared" si="4"/>
        <v>15185455.475280065</v>
      </c>
      <c r="X266" s="232">
        <v>669</v>
      </c>
      <c r="Y266" s="232">
        <v>739</v>
      </c>
      <c r="Z266" s="234">
        <v>0.38100000000000001</v>
      </c>
      <c r="AA266" s="232">
        <v>367</v>
      </c>
      <c r="AB266" s="232">
        <v>111</v>
      </c>
      <c r="AC266" s="232">
        <v>921394.07</v>
      </c>
      <c r="AD266" s="232">
        <v>-79462.060000000056</v>
      </c>
      <c r="AE266" s="430">
        <v>1</v>
      </c>
    </row>
    <row r="267" spans="1:31" x14ac:dyDescent="0.25">
      <c r="A267" s="108">
        <v>5885</v>
      </c>
      <c r="B267" s="226" t="s">
        <v>359</v>
      </c>
      <c r="C267" s="368">
        <v>1917</v>
      </c>
      <c r="D267" s="371">
        <v>69.5</v>
      </c>
      <c r="E267" s="235">
        <v>1.2</v>
      </c>
      <c r="F267" s="231">
        <v>5752109.2199999997</v>
      </c>
      <c r="G267" s="232">
        <v>936908.24</v>
      </c>
      <c r="H267" s="232">
        <v>30337.4</v>
      </c>
      <c r="I267" s="232">
        <v>13641</v>
      </c>
      <c r="J267" s="232">
        <v>-22067.7</v>
      </c>
      <c r="K267" s="232">
        <v>31119.35</v>
      </c>
      <c r="L267" s="232">
        <v>-57625.23</v>
      </c>
      <c r="M267" s="232"/>
      <c r="N267" s="425">
        <f>Paramètres!$K$20/(Données!$H$302+Données!$I$302)*(Données!H267+Données!I267)</f>
        <v>4181.3412936398381</v>
      </c>
      <c r="O267" s="232">
        <v>610938.25</v>
      </c>
      <c r="P267" s="232">
        <v>9926.0300000000007</v>
      </c>
      <c r="Q267" s="232">
        <v>25806.55</v>
      </c>
      <c r="R267" s="232">
        <v>-6867.75</v>
      </c>
      <c r="S267" s="232">
        <v>249047.3</v>
      </c>
      <c r="T267" s="232">
        <v>73968.2</v>
      </c>
      <c r="U267" s="232">
        <v>181952.15</v>
      </c>
      <c r="V267" s="232">
        <v>12601.15</v>
      </c>
      <c r="W267" s="233">
        <f t="shared" si="4"/>
        <v>7845975.5012936397</v>
      </c>
      <c r="X267" s="232">
        <v>214</v>
      </c>
      <c r="Y267" s="232">
        <v>225</v>
      </c>
      <c r="Z267" s="234">
        <v>0.17399999999999999</v>
      </c>
      <c r="AA267" s="232">
        <v>236</v>
      </c>
      <c r="AB267" s="232">
        <v>33</v>
      </c>
      <c r="AC267" s="232" t="s">
        <v>566</v>
      </c>
      <c r="AD267" s="232" t="s">
        <v>566</v>
      </c>
      <c r="AE267" s="430">
        <v>1</v>
      </c>
    </row>
    <row r="268" spans="1:31" x14ac:dyDescent="0.25">
      <c r="A268" s="108">
        <v>5886</v>
      </c>
      <c r="B268" s="226" t="s">
        <v>360</v>
      </c>
      <c r="C268" s="368">
        <v>27166</v>
      </c>
      <c r="D268" s="371">
        <v>65</v>
      </c>
      <c r="E268" s="235">
        <v>1.5</v>
      </c>
      <c r="F268" s="231">
        <v>46140525.579999998</v>
      </c>
      <c r="G268" s="232">
        <v>12737531.18</v>
      </c>
      <c r="H268" s="232">
        <v>5398586.0499999998</v>
      </c>
      <c r="I268" s="232">
        <v>797577.95</v>
      </c>
      <c r="J268" s="232">
        <v>4606914.45</v>
      </c>
      <c r="K268" s="232">
        <v>308296.63</v>
      </c>
      <c r="L268" s="232">
        <v>-1296031.3700000001</v>
      </c>
      <c r="M268" s="232"/>
      <c r="N268" s="425">
        <f>Paramètres!$K$20/(Données!$H$302+Données!$I$302)*(Données!H268+Données!I268)</f>
        <v>589113.66478463507</v>
      </c>
      <c r="O268" s="232">
        <v>11937114.800000001</v>
      </c>
      <c r="P268" s="232">
        <v>2367599.7000000002</v>
      </c>
      <c r="Q268" s="232">
        <v>666113.4</v>
      </c>
      <c r="R268" s="232">
        <v>-258260.12</v>
      </c>
      <c r="S268" s="232">
        <v>5504068.2999999998</v>
      </c>
      <c r="T268" s="232">
        <v>13671780.9</v>
      </c>
      <c r="U268" s="232">
        <v>3641576.8</v>
      </c>
      <c r="V268" s="232">
        <v>1494104.25</v>
      </c>
      <c r="W268" s="233">
        <f t="shared" si="4"/>
        <v>108306612.16478463</v>
      </c>
      <c r="X268" s="232">
        <v>3196</v>
      </c>
      <c r="Y268" s="232">
        <v>1517</v>
      </c>
      <c r="Z268" s="234">
        <v>0.70299999999999996</v>
      </c>
      <c r="AA268" s="232">
        <v>2407</v>
      </c>
      <c r="AB268" s="232">
        <v>172</v>
      </c>
      <c r="AC268" s="232">
        <v>5044234.1500000004</v>
      </c>
      <c r="AD268" s="232">
        <v>-1575069.22</v>
      </c>
      <c r="AE268" s="430">
        <v>1</v>
      </c>
    </row>
    <row r="269" spans="1:31" x14ac:dyDescent="0.25">
      <c r="A269" s="108">
        <v>5889</v>
      </c>
      <c r="B269" s="226" t="s">
        <v>361</v>
      </c>
      <c r="C269" s="368">
        <v>13053</v>
      </c>
      <c r="D269" s="371">
        <v>64</v>
      </c>
      <c r="E269" s="235">
        <v>1.2</v>
      </c>
      <c r="F269" s="231">
        <v>28706081.02</v>
      </c>
      <c r="G269" s="232">
        <v>6025771.6900000004</v>
      </c>
      <c r="H269" s="232">
        <v>13491274.550000001</v>
      </c>
      <c r="I269" s="232">
        <v>-564153.85</v>
      </c>
      <c r="J269" s="232">
        <v>1008399.46</v>
      </c>
      <c r="K269" s="232">
        <v>71653.8</v>
      </c>
      <c r="L269" s="232">
        <v>-282641.96000000002</v>
      </c>
      <c r="M269" s="232"/>
      <c r="N269" s="425">
        <f>Paramètres!$K$20/(Données!$H$302+Données!$I$302)*(Données!H269+Données!I269)</f>
        <v>1229073.8997047718</v>
      </c>
      <c r="O269" s="232">
        <v>3547197.85</v>
      </c>
      <c r="P269" s="232">
        <v>898670.21</v>
      </c>
      <c r="Q269" s="232">
        <v>311366.90000000002</v>
      </c>
      <c r="R269" s="232">
        <v>-4134779.33</v>
      </c>
      <c r="S269" s="232">
        <v>1462156.35</v>
      </c>
      <c r="T269" s="232">
        <v>1014203.7</v>
      </c>
      <c r="U269" s="232">
        <v>797220.45</v>
      </c>
      <c r="V269" s="232">
        <v>196692.7</v>
      </c>
      <c r="W269" s="233">
        <f t="shared" si="4"/>
        <v>53778187.439704783</v>
      </c>
      <c r="X269" s="232">
        <v>326</v>
      </c>
      <c r="Y269" s="232">
        <v>0</v>
      </c>
      <c r="Z269" s="234">
        <v>0.12</v>
      </c>
      <c r="AA269" s="232">
        <v>1337</v>
      </c>
      <c r="AB269" s="232">
        <v>12</v>
      </c>
      <c r="AC269" s="232">
        <v>2283117.6</v>
      </c>
      <c r="AD269" s="232">
        <v>-623833.63</v>
      </c>
      <c r="AE269" s="430">
        <v>1</v>
      </c>
    </row>
    <row r="270" spans="1:31" x14ac:dyDescent="0.25">
      <c r="A270" s="108">
        <v>5890</v>
      </c>
      <c r="B270" s="226" t="s">
        <v>362</v>
      </c>
      <c r="C270" s="368">
        <v>20179</v>
      </c>
      <c r="D270" s="371">
        <v>74.5</v>
      </c>
      <c r="E270" s="235">
        <v>1.5</v>
      </c>
      <c r="F270" s="231">
        <v>39300302.289999999</v>
      </c>
      <c r="G270" s="232">
        <v>6997932.2800000003</v>
      </c>
      <c r="H270" s="232">
        <v>35304407.75</v>
      </c>
      <c r="I270" s="232">
        <v>-1079745.75</v>
      </c>
      <c r="J270" s="232">
        <v>212346.25</v>
      </c>
      <c r="K270" s="232">
        <v>188047.99</v>
      </c>
      <c r="L270" s="232">
        <v>-746108.31</v>
      </c>
      <c r="M270" s="232"/>
      <c r="N270" s="425">
        <f>Paramètres!$K$20/(Données!$H$302+Données!$I$302)*(Données!H270+Données!I270)</f>
        <v>3253983.602892925</v>
      </c>
      <c r="O270" s="232">
        <v>6313744.1699999999</v>
      </c>
      <c r="P270" s="232">
        <v>3451233.87</v>
      </c>
      <c r="Q270" s="232">
        <v>622499.19999999995</v>
      </c>
      <c r="R270" s="232">
        <v>-8099728.5</v>
      </c>
      <c r="S270" s="232">
        <v>2340758.6</v>
      </c>
      <c r="T270" s="232">
        <v>1194139.5</v>
      </c>
      <c r="U270" s="232">
        <v>1063136.3500000001</v>
      </c>
      <c r="V270" s="232">
        <v>872669.7</v>
      </c>
      <c r="W270" s="233">
        <f t="shared" si="4"/>
        <v>91189618.992892906</v>
      </c>
      <c r="X270" s="232">
        <v>230</v>
      </c>
      <c r="Y270" s="232">
        <v>0</v>
      </c>
      <c r="Z270" s="234">
        <v>0.124</v>
      </c>
      <c r="AA270" s="232">
        <v>2017</v>
      </c>
      <c r="AB270" s="232">
        <v>33</v>
      </c>
      <c r="AC270" s="232">
        <v>3830868.09</v>
      </c>
      <c r="AD270" s="232">
        <v>-843739.68</v>
      </c>
      <c r="AE270" s="430">
        <v>1</v>
      </c>
    </row>
    <row r="271" spans="1:31" x14ac:dyDescent="0.25">
      <c r="A271" s="108">
        <v>5891</v>
      </c>
      <c r="B271" s="226" t="s">
        <v>363</v>
      </c>
      <c r="C271" s="368">
        <v>1008</v>
      </c>
      <c r="D271" s="371">
        <v>65</v>
      </c>
      <c r="E271" s="235">
        <v>1.5</v>
      </c>
      <c r="F271" s="231">
        <v>1551501.95</v>
      </c>
      <c r="G271" s="232">
        <v>358885.76</v>
      </c>
      <c r="H271" s="232">
        <v>198614.1</v>
      </c>
      <c r="I271" s="232">
        <v>-73600.350000000006</v>
      </c>
      <c r="J271" s="232">
        <v>0</v>
      </c>
      <c r="K271" s="232">
        <v>7921.3</v>
      </c>
      <c r="L271" s="232">
        <v>-71091.740000000005</v>
      </c>
      <c r="M271" s="232"/>
      <c r="N271" s="425">
        <f>Paramètres!$K$20/(Données!$H$302+Données!$I$302)*(Données!H271+Données!I271)</f>
        <v>11885.95208438159</v>
      </c>
      <c r="O271" s="232">
        <v>481217.95</v>
      </c>
      <c r="P271" s="232">
        <v>114796.91</v>
      </c>
      <c r="Q271" s="232">
        <v>19762.349999999999</v>
      </c>
      <c r="R271" s="232">
        <v>-3925.2</v>
      </c>
      <c r="S271" s="232">
        <v>129744.9</v>
      </c>
      <c r="T271" s="232">
        <v>0</v>
      </c>
      <c r="U271" s="232">
        <v>29939.55</v>
      </c>
      <c r="V271" s="232">
        <v>12999.6</v>
      </c>
      <c r="W271" s="233">
        <f t="shared" si="4"/>
        <v>2768653.0320843817</v>
      </c>
      <c r="X271" s="232">
        <v>642</v>
      </c>
      <c r="Y271" s="232">
        <v>16</v>
      </c>
      <c r="Z271" s="234">
        <v>0.88100000000000001</v>
      </c>
      <c r="AA271" s="232">
        <v>77</v>
      </c>
      <c r="AB271" s="232">
        <v>14</v>
      </c>
      <c r="AC271" s="232">
        <v>357611</v>
      </c>
      <c r="AD271" s="232">
        <v>-139128.46</v>
      </c>
      <c r="AE271" s="430">
        <v>1</v>
      </c>
    </row>
    <row r="272" spans="1:31" x14ac:dyDescent="0.25">
      <c r="A272" s="108">
        <v>5892</v>
      </c>
      <c r="B272" s="226" t="s">
        <v>364</v>
      </c>
      <c r="C272" s="368">
        <v>12597</v>
      </c>
      <c r="D272" s="371">
        <v>67.5</v>
      </c>
      <c r="E272" s="235">
        <v>1</v>
      </c>
      <c r="F272" s="231">
        <v>36615278.850000001</v>
      </c>
      <c r="G272" s="232">
        <v>8350715.9000000004</v>
      </c>
      <c r="H272" s="232">
        <v>693933.1</v>
      </c>
      <c r="I272" s="232">
        <v>150279.70000000001</v>
      </c>
      <c r="J272" s="232">
        <v>976964.13</v>
      </c>
      <c r="K272" s="232">
        <v>178666.93</v>
      </c>
      <c r="L272" s="232">
        <v>-437983.27</v>
      </c>
      <c r="M272" s="232"/>
      <c r="N272" s="425">
        <f>Paramètres!$K$20/(Données!$H$302+Données!$I$302)*(Données!H272+Données!I272)</f>
        <v>80265.353929640696</v>
      </c>
      <c r="O272" s="232">
        <v>3852424.55</v>
      </c>
      <c r="P272" s="232">
        <v>210834.31</v>
      </c>
      <c r="Q272" s="232">
        <v>180357.7</v>
      </c>
      <c r="R272" s="232">
        <v>-343710.38</v>
      </c>
      <c r="S272" s="232">
        <v>2097121.75</v>
      </c>
      <c r="T272" s="232">
        <f>34936448.4-32300000</f>
        <v>2636448.3999999985</v>
      </c>
      <c r="U272" s="232">
        <v>1927383.4</v>
      </c>
      <c r="V272" s="232">
        <v>363325.4</v>
      </c>
      <c r="W272" s="233">
        <f t="shared" si="4"/>
        <v>57532305.823929638</v>
      </c>
      <c r="X272" s="232">
        <v>3067</v>
      </c>
      <c r="Y272" s="232">
        <v>833</v>
      </c>
      <c r="Z272" s="234">
        <v>0.434</v>
      </c>
      <c r="AA272" s="232">
        <v>1338</v>
      </c>
      <c r="AB272" s="232">
        <v>107</v>
      </c>
      <c r="AC272" s="232">
        <v>1146326.79</v>
      </c>
      <c r="AD272" s="232">
        <v>-144633.79</v>
      </c>
      <c r="AE272" s="430">
        <v>1</v>
      </c>
    </row>
    <row r="273" spans="1:31" x14ac:dyDescent="0.25">
      <c r="A273" s="108">
        <v>5902</v>
      </c>
      <c r="B273" s="226" t="s">
        <v>365</v>
      </c>
      <c r="C273" s="368">
        <v>457</v>
      </c>
      <c r="D273" s="371">
        <v>70</v>
      </c>
      <c r="E273" s="235">
        <v>1</v>
      </c>
      <c r="F273" s="231">
        <v>627042.93999999994</v>
      </c>
      <c r="G273" s="232">
        <v>73345.679999999993</v>
      </c>
      <c r="H273" s="232">
        <v>-1304.7</v>
      </c>
      <c r="I273" s="232">
        <v>1431.5</v>
      </c>
      <c r="J273" s="232">
        <v>0</v>
      </c>
      <c r="K273" s="232">
        <v>0</v>
      </c>
      <c r="L273" s="232">
        <v>-2763.52</v>
      </c>
      <c r="M273" s="232"/>
      <c r="N273" s="425">
        <f>Paramètres!$K$20/(Données!$H$302+Données!$I$302)*(Données!H273+Données!I273)</f>
        <v>12.055783658194279</v>
      </c>
      <c r="O273" s="232">
        <v>78267.199999999997</v>
      </c>
      <c r="P273" s="232">
        <v>9886.51</v>
      </c>
      <c r="Q273" s="232">
        <v>0</v>
      </c>
      <c r="R273" s="232">
        <v>-61.7</v>
      </c>
      <c r="S273" s="232">
        <v>51921.15</v>
      </c>
      <c r="T273" s="232">
        <v>87</v>
      </c>
      <c r="U273" s="232">
        <v>7799.6</v>
      </c>
      <c r="V273" s="232">
        <v>0</v>
      </c>
      <c r="W273" s="233">
        <f t="shared" si="4"/>
        <v>845663.71578365809</v>
      </c>
      <c r="X273" s="232">
        <v>646</v>
      </c>
      <c r="Y273" s="232">
        <v>0</v>
      </c>
      <c r="Z273" s="234">
        <v>7.5999999999999998E-2</v>
      </c>
      <c r="AA273" s="232">
        <v>60</v>
      </c>
      <c r="AB273" s="232">
        <v>58</v>
      </c>
      <c r="AC273" s="232" t="s">
        <v>566</v>
      </c>
      <c r="AD273" s="232" t="s">
        <v>566</v>
      </c>
      <c r="AE273" s="430">
        <v>0</v>
      </c>
    </row>
    <row r="274" spans="1:31" x14ac:dyDescent="0.25">
      <c r="A274" s="108">
        <v>5903</v>
      </c>
      <c r="B274" s="226" t="s">
        <v>366</v>
      </c>
      <c r="C274" s="368">
        <v>252</v>
      </c>
      <c r="D274" s="371">
        <v>72</v>
      </c>
      <c r="E274" s="235">
        <v>0.7</v>
      </c>
      <c r="F274" s="231">
        <v>377068.39</v>
      </c>
      <c r="G274" s="232">
        <v>48444.65</v>
      </c>
      <c r="H274" s="232">
        <v>6881.5</v>
      </c>
      <c r="I274" s="232">
        <v>904.5</v>
      </c>
      <c r="J274" s="232">
        <v>0</v>
      </c>
      <c r="K274" s="232">
        <v>0</v>
      </c>
      <c r="L274" s="232">
        <v>-6675.8</v>
      </c>
      <c r="M274" s="232"/>
      <c r="N274" s="425">
        <f>Paramètres!$K$20/(Données!$H$302+Données!$I$302)*(Données!H274+Données!I274)</f>
        <v>740.27075364905909</v>
      </c>
      <c r="O274" s="232">
        <v>30680.25</v>
      </c>
      <c r="P274" s="232">
        <v>863.04</v>
      </c>
      <c r="Q274" s="232">
        <v>0</v>
      </c>
      <c r="R274" s="232">
        <v>-124.7</v>
      </c>
      <c r="S274" s="232">
        <v>26963.85</v>
      </c>
      <c r="T274" s="232">
        <v>34.5</v>
      </c>
      <c r="U274" s="232">
        <v>20594.05</v>
      </c>
      <c r="V274" s="232">
        <v>29976.1</v>
      </c>
      <c r="W274" s="233">
        <f t="shared" si="4"/>
        <v>536350.60075364902</v>
      </c>
      <c r="X274" s="232">
        <v>426</v>
      </c>
      <c r="Y274" s="232">
        <v>0</v>
      </c>
      <c r="Z274" s="234">
        <v>0.14199999999999999</v>
      </c>
      <c r="AA274" s="232">
        <v>41</v>
      </c>
      <c r="AB274" s="232">
        <v>41</v>
      </c>
      <c r="AC274" s="232" t="s">
        <v>566</v>
      </c>
      <c r="AD274" s="232" t="s">
        <v>566</v>
      </c>
      <c r="AE274" s="430">
        <v>0</v>
      </c>
    </row>
    <row r="275" spans="1:31" x14ac:dyDescent="0.25">
      <c r="A275" s="108">
        <v>5904</v>
      </c>
      <c r="B275" s="226" t="s">
        <v>367</v>
      </c>
      <c r="C275" s="368">
        <v>558</v>
      </c>
      <c r="D275" s="371">
        <v>66</v>
      </c>
      <c r="E275" s="235">
        <v>1</v>
      </c>
      <c r="F275" s="231">
        <v>1135814.6499999999</v>
      </c>
      <c r="G275" s="232">
        <v>164007.89000000001</v>
      </c>
      <c r="H275" s="232">
        <v>35352.65</v>
      </c>
      <c r="I275" s="232">
        <v>1199.8</v>
      </c>
      <c r="J275" s="232">
        <v>0</v>
      </c>
      <c r="K275" s="232">
        <v>2850.25</v>
      </c>
      <c r="L275" s="232">
        <v>-6137.55</v>
      </c>
      <c r="M275" s="232"/>
      <c r="N275" s="425">
        <f>Paramètres!$K$20/(Données!$H$302+Données!$I$302)*(Données!H275+Données!I275)</f>
        <v>3475.3030707962439</v>
      </c>
      <c r="O275" s="232">
        <v>104498.9</v>
      </c>
      <c r="P275" s="232">
        <v>15759.55</v>
      </c>
      <c r="Q275" s="232">
        <v>4018.2</v>
      </c>
      <c r="R275" s="232">
        <v>-47.3</v>
      </c>
      <c r="S275" s="232">
        <v>43666.2</v>
      </c>
      <c r="T275" s="232">
        <v>0</v>
      </c>
      <c r="U275" s="232">
        <v>48443.199999999997</v>
      </c>
      <c r="V275" s="232">
        <v>75667.199999999997</v>
      </c>
      <c r="W275" s="233">
        <f t="shared" si="4"/>
        <v>1628568.9430707959</v>
      </c>
      <c r="X275" s="232">
        <v>283</v>
      </c>
      <c r="Y275" s="232">
        <v>0</v>
      </c>
      <c r="Z275" s="234">
        <v>0.10199999999999999</v>
      </c>
      <c r="AA275" s="232">
        <v>64</v>
      </c>
      <c r="AB275" s="232">
        <v>25</v>
      </c>
      <c r="AC275" s="232" t="s">
        <v>566</v>
      </c>
      <c r="AD275" s="232" t="s">
        <v>566</v>
      </c>
      <c r="AE275" s="430">
        <v>1</v>
      </c>
    </row>
    <row r="276" spans="1:31" x14ac:dyDescent="0.25">
      <c r="A276" s="108">
        <v>5905</v>
      </c>
      <c r="B276" s="226" t="s">
        <v>368</v>
      </c>
      <c r="C276" s="368">
        <v>692</v>
      </c>
      <c r="D276" s="371">
        <v>70</v>
      </c>
      <c r="E276" s="235">
        <v>1</v>
      </c>
      <c r="F276" s="231">
        <v>965974.6</v>
      </c>
      <c r="G276" s="232">
        <v>128529.18</v>
      </c>
      <c r="H276" s="232">
        <v>-39563.35</v>
      </c>
      <c r="I276" s="232">
        <v>5282.75</v>
      </c>
      <c r="J276" s="232">
        <v>0</v>
      </c>
      <c r="K276" s="232">
        <v>4903.3</v>
      </c>
      <c r="L276" s="232">
        <v>-11447.15</v>
      </c>
      <c r="M276" s="232"/>
      <c r="N276" s="425">
        <f>Paramètres!$K$20/(Données!$H$302+Données!$I$302)*(Données!H276+Données!I276)</f>
        <v>-3259.302028967626</v>
      </c>
      <c r="O276" s="232">
        <v>119687</v>
      </c>
      <c r="P276" s="232">
        <v>26546.07</v>
      </c>
      <c r="Q276" s="232">
        <v>3646.65</v>
      </c>
      <c r="R276" s="232">
        <v>-47.8</v>
      </c>
      <c r="S276" s="232">
        <v>7115.05</v>
      </c>
      <c r="T276" s="232">
        <v>0</v>
      </c>
      <c r="U276" s="232">
        <v>183.75</v>
      </c>
      <c r="V276" s="232">
        <v>174126.25</v>
      </c>
      <c r="W276" s="233">
        <f t="shared" si="4"/>
        <v>1381676.9979710325</v>
      </c>
      <c r="X276" s="232">
        <v>897</v>
      </c>
      <c r="Y276" s="232">
        <v>0</v>
      </c>
      <c r="Z276" s="234">
        <v>4.5999999999999999E-2</v>
      </c>
      <c r="AA276" s="232">
        <v>89</v>
      </c>
      <c r="AB276" s="232">
        <v>76</v>
      </c>
      <c r="AC276" s="232" t="s">
        <v>566</v>
      </c>
      <c r="AD276" s="232" t="s">
        <v>566</v>
      </c>
      <c r="AE276" s="430">
        <v>0</v>
      </c>
    </row>
    <row r="277" spans="1:31" x14ac:dyDescent="0.25">
      <c r="A277" s="108">
        <v>5907</v>
      </c>
      <c r="B277" s="226" t="s">
        <v>369</v>
      </c>
      <c r="C277" s="368">
        <v>329</v>
      </c>
      <c r="D277" s="371">
        <v>75</v>
      </c>
      <c r="E277" s="235">
        <v>1</v>
      </c>
      <c r="F277" s="231">
        <v>502765.84</v>
      </c>
      <c r="G277" s="232">
        <v>69806.789999999994</v>
      </c>
      <c r="H277" s="232">
        <v>4405.1499999999996</v>
      </c>
      <c r="I277" s="232">
        <v>785.55</v>
      </c>
      <c r="J277" s="232">
        <v>0</v>
      </c>
      <c r="K277" s="232">
        <v>-3030.86</v>
      </c>
      <c r="L277" s="232">
        <v>-13723.26</v>
      </c>
      <c r="M277" s="232"/>
      <c r="N277" s="425">
        <f>Paramètres!$K$20/(Données!$H$302+Données!$I$302)*(Données!H277+Données!I277)</f>
        <v>493.51700500464563</v>
      </c>
      <c r="O277" s="232">
        <v>55273.5</v>
      </c>
      <c r="P277" s="232">
        <v>3395.43</v>
      </c>
      <c r="Q277" s="232">
        <v>1078.2</v>
      </c>
      <c r="R277" s="232">
        <v>-110.65</v>
      </c>
      <c r="S277" s="232">
        <v>4235</v>
      </c>
      <c r="T277" s="232">
        <v>0</v>
      </c>
      <c r="U277" s="232">
        <v>9829.15</v>
      </c>
      <c r="V277" s="232">
        <v>4879.8</v>
      </c>
      <c r="W277" s="233">
        <f t="shared" si="4"/>
        <v>640083.15700500482</v>
      </c>
      <c r="X277" s="232">
        <v>397</v>
      </c>
      <c r="Y277" s="232">
        <v>0</v>
      </c>
      <c r="Z277" s="234">
        <v>3.9E-2</v>
      </c>
      <c r="AA277" s="232">
        <v>38</v>
      </c>
      <c r="AB277" s="232">
        <v>38</v>
      </c>
      <c r="AC277" s="232" t="s">
        <v>566</v>
      </c>
      <c r="AD277" s="232" t="s">
        <v>566</v>
      </c>
      <c r="AE277" s="430">
        <v>0</v>
      </c>
    </row>
    <row r="278" spans="1:31" x14ac:dyDescent="0.25">
      <c r="A278" s="108">
        <v>5908</v>
      </c>
      <c r="B278" s="226" t="s">
        <v>370</v>
      </c>
      <c r="C278" s="368">
        <v>172</v>
      </c>
      <c r="D278" s="371">
        <v>75</v>
      </c>
      <c r="E278" s="235">
        <v>1</v>
      </c>
      <c r="F278" s="231">
        <v>235480.58</v>
      </c>
      <c r="G278" s="232">
        <v>53313.52</v>
      </c>
      <c r="H278" s="232">
        <v>6780.3</v>
      </c>
      <c r="I278" s="232">
        <v>820.3</v>
      </c>
      <c r="J278" s="232">
        <v>0</v>
      </c>
      <c r="K278" s="232">
        <v>0</v>
      </c>
      <c r="L278" s="232">
        <v>-1075.45</v>
      </c>
      <c r="M278" s="232"/>
      <c r="N278" s="425">
        <f>Paramètres!$K$20/(Données!$H$302+Données!$I$302)*(Données!H278+Données!I278)</f>
        <v>722.64344852106842</v>
      </c>
      <c r="O278" s="232">
        <v>29982.45</v>
      </c>
      <c r="P278" s="232">
        <v>1260.0999999999999</v>
      </c>
      <c r="Q278" s="232">
        <v>92.95</v>
      </c>
      <c r="R278" s="232">
        <v>-423.65</v>
      </c>
      <c r="S278" s="232">
        <v>1782.6</v>
      </c>
      <c r="T278" s="232">
        <v>0</v>
      </c>
      <c r="U278" s="232">
        <v>505.55</v>
      </c>
      <c r="V278" s="232">
        <v>0</v>
      </c>
      <c r="W278" s="233">
        <f t="shared" si="4"/>
        <v>329241.89344852098</v>
      </c>
      <c r="X278" s="232">
        <v>206</v>
      </c>
      <c r="Y278" s="232">
        <v>0</v>
      </c>
      <c r="Z278" s="234">
        <v>9.5000000000000001E-2</v>
      </c>
      <c r="AA278" s="232">
        <v>30</v>
      </c>
      <c r="AB278" s="232">
        <v>30</v>
      </c>
      <c r="AC278" s="232" t="s">
        <v>566</v>
      </c>
      <c r="AD278" s="232" t="s">
        <v>566</v>
      </c>
      <c r="AE278" s="430">
        <v>0</v>
      </c>
    </row>
    <row r="279" spans="1:31" x14ac:dyDescent="0.25">
      <c r="A279" s="108">
        <v>5909</v>
      </c>
      <c r="B279" s="226" t="s">
        <v>371</v>
      </c>
      <c r="C279" s="368">
        <v>745</v>
      </c>
      <c r="D279" s="371">
        <v>67</v>
      </c>
      <c r="E279" s="235">
        <v>1</v>
      </c>
      <c r="F279" s="231">
        <v>1807809.85</v>
      </c>
      <c r="G279" s="232">
        <v>336536.57</v>
      </c>
      <c r="H279" s="232">
        <v>-8157.3</v>
      </c>
      <c r="I279" s="232">
        <v>1615.3</v>
      </c>
      <c r="J279" s="232">
        <v>0</v>
      </c>
      <c r="K279" s="232">
        <v>0</v>
      </c>
      <c r="L279" s="232">
        <v>-1367.38</v>
      </c>
      <c r="M279" s="232"/>
      <c r="N279" s="425">
        <f>Paramètres!$K$20/(Données!$H$302+Données!$I$302)*(Données!H279+Données!I279)</f>
        <v>-621.99476886361992</v>
      </c>
      <c r="O279" s="232">
        <v>181615.6</v>
      </c>
      <c r="P279" s="232">
        <v>19852.28</v>
      </c>
      <c r="Q279" s="232">
        <v>-1414</v>
      </c>
      <c r="R279" s="232">
        <v>-1706.1</v>
      </c>
      <c r="S279" s="232">
        <v>83798</v>
      </c>
      <c r="T279" s="232">
        <v>54344.1</v>
      </c>
      <c r="U279" s="232">
        <v>59742.9</v>
      </c>
      <c r="V279" s="232">
        <v>12754.4</v>
      </c>
      <c r="W279" s="233">
        <f t="shared" si="4"/>
        <v>2544802.2252311362</v>
      </c>
      <c r="X279" s="232">
        <v>541</v>
      </c>
      <c r="Y279" s="232">
        <v>0</v>
      </c>
      <c r="Z279" s="234">
        <v>7.8E-2</v>
      </c>
      <c r="AA279" s="232">
        <v>88</v>
      </c>
      <c r="AB279" s="232">
        <v>39</v>
      </c>
      <c r="AC279" s="232">
        <v>102704</v>
      </c>
      <c r="AD279" s="232">
        <v>0</v>
      </c>
      <c r="AE279" s="430">
        <v>1</v>
      </c>
    </row>
    <row r="280" spans="1:31" x14ac:dyDescent="0.25">
      <c r="A280" s="108">
        <v>5910</v>
      </c>
      <c r="B280" s="226" t="s">
        <v>372</v>
      </c>
      <c r="C280" s="368">
        <v>432</v>
      </c>
      <c r="D280" s="371">
        <v>75</v>
      </c>
      <c r="E280" s="235">
        <v>1</v>
      </c>
      <c r="F280" s="231">
        <v>579557.22</v>
      </c>
      <c r="G280" s="232">
        <v>94338.64</v>
      </c>
      <c r="H280" s="232">
        <v>-917.5</v>
      </c>
      <c r="I280" s="232">
        <v>1754.65</v>
      </c>
      <c r="J280" s="232">
        <v>0</v>
      </c>
      <c r="K280" s="232">
        <v>2633.79</v>
      </c>
      <c r="L280" s="232">
        <v>526.96</v>
      </c>
      <c r="M280" s="232"/>
      <c r="N280" s="425">
        <f>Paramètres!$K$20/(Données!$H$302+Données!$I$302)*(Données!H280+Données!I280)</f>
        <v>79.593842976792956</v>
      </c>
      <c r="O280" s="232">
        <v>70950.350000000006</v>
      </c>
      <c r="P280" s="232">
        <v>5948.94</v>
      </c>
      <c r="Q280" s="232">
        <v>0</v>
      </c>
      <c r="R280" s="232">
        <v>0</v>
      </c>
      <c r="S280" s="232">
        <v>11550</v>
      </c>
      <c r="T280" s="232">
        <v>0</v>
      </c>
      <c r="U280" s="232">
        <v>50911.65</v>
      </c>
      <c r="V280" s="232">
        <v>0</v>
      </c>
      <c r="W280" s="233">
        <f t="shared" si="4"/>
        <v>817334.2938429768</v>
      </c>
      <c r="X280" s="232">
        <v>655</v>
      </c>
      <c r="Y280" s="232">
        <v>0</v>
      </c>
      <c r="Z280" s="234">
        <v>0.16300000000000001</v>
      </c>
      <c r="AA280" s="232">
        <v>65</v>
      </c>
      <c r="AB280" s="232">
        <v>38</v>
      </c>
      <c r="AC280" s="232" t="s">
        <v>566</v>
      </c>
      <c r="AD280" s="232" t="s">
        <v>566</v>
      </c>
      <c r="AE280" s="430">
        <v>0</v>
      </c>
    </row>
    <row r="281" spans="1:31" x14ac:dyDescent="0.25">
      <c r="A281" s="108">
        <v>5911</v>
      </c>
      <c r="B281" s="226" t="s">
        <v>373</v>
      </c>
      <c r="C281" s="368">
        <v>244</v>
      </c>
      <c r="D281" s="371">
        <v>77</v>
      </c>
      <c r="E281" s="235">
        <v>1</v>
      </c>
      <c r="F281" s="231">
        <v>434176.41</v>
      </c>
      <c r="G281" s="232">
        <v>55427.65</v>
      </c>
      <c r="H281" s="232">
        <v>8368.85</v>
      </c>
      <c r="I281" s="232">
        <v>1403.9</v>
      </c>
      <c r="J281" s="232">
        <v>0</v>
      </c>
      <c r="K281" s="232">
        <v>0</v>
      </c>
      <c r="L281" s="232">
        <v>-290.79000000000002</v>
      </c>
      <c r="M281" s="232"/>
      <c r="N281" s="425">
        <f>Paramètres!$K$20/(Données!$H$302+Données!$I$302)*(Données!H281+Données!I281)</f>
        <v>929.16529767837687</v>
      </c>
      <c r="O281" s="232">
        <v>38600.800000000003</v>
      </c>
      <c r="P281" s="232">
        <v>3668.12</v>
      </c>
      <c r="Q281" s="232">
        <v>2440.0500000000002</v>
      </c>
      <c r="R281" s="232">
        <v>0</v>
      </c>
      <c r="S281" s="232">
        <v>10285</v>
      </c>
      <c r="T281" s="232">
        <v>0</v>
      </c>
      <c r="U281" s="232">
        <v>0</v>
      </c>
      <c r="V281" s="232">
        <v>0</v>
      </c>
      <c r="W281" s="233">
        <f t="shared" si="4"/>
        <v>555009.15529767843</v>
      </c>
      <c r="X281" s="232">
        <v>460</v>
      </c>
      <c r="Y281" s="232">
        <v>0</v>
      </c>
      <c r="Z281" s="234">
        <v>0.13100000000000001</v>
      </c>
      <c r="AA281" s="232">
        <v>32</v>
      </c>
      <c r="AB281" s="232">
        <v>27</v>
      </c>
      <c r="AC281" s="232" t="s">
        <v>566</v>
      </c>
      <c r="AD281" s="232" t="s">
        <v>566</v>
      </c>
      <c r="AE281" s="430">
        <v>0</v>
      </c>
    </row>
    <row r="282" spans="1:31" x14ac:dyDescent="0.25">
      <c r="A282" s="108">
        <v>5912</v>
      </c>
      <c r="B282" s="226" t="s">
        <v>374</v>
      </c>
      <c r="C282" s="368">
        <v>181</v>
      </c>
      <c r="D282" s="371">
        <v>78</v>
      </c>
      <c r="E282" s="235">
        <v>1</v>
      </c>
      <c r="F282" s="231">
        <v>266621.07</v>
      </c>
      <c r="G282" s="232">
        <v>35149.35</v>
      </c>
      <c r="H282" s="232">
        <v>11965.7</v>
      </c>
      <c r="I282" s="232">
        <v>1130.95</v>
      </c>
      <c r="J282" s="232">
        <v>0</v>
      </c>
      <c r="K282" s="232">
        <v>0</v>
      </c>
      <c r="L282" s="232">
        <v>-1134.67</v>
      </c>
      <c r="M282" s="232"/>
      <c r="N282" s="425">
        <f>Paramètres!$K$20/(Données!$H$302+Données!$I$302)*(Données!H282+Données!I282)</f>
        <v>1245.1922637783139</v>
      </c>
      <c r="O282" s="232">
        <v>25948.400000000001</v>
      </c>
      <c r="P282" s="232">
        <v>10533.47</v>
      </c>
      <c r="Q282" s="232">
        <v>0</v>
      </c>
      <c r="R282" s="232">
        <v>0</v>
      </c>
      <c r="S282" s="232">
        <v>8580</v>
      </c>
      <c r="T282" s="232">
        <v>0</v>
      </c>
      <c r="U282" s="232">
        <v>9685.2999999999993</v>
      </c>
      <c r="V282" s="232">
        <v>0</v>
      </c>
      <c r="W282" s="233">
        <f t="shared" si="4"/>
        <v>369724.76226377831</v>
      </c>
      <c r="X282" s="232">
        <v>429</v>
      </c>
      <c r="Y282" s="232">
        <v>133</v>
      </c>
      <c r="Z282" s="234">
        <v>1.7999999999999999E-2</v>
      </c>
      <c r="AA282" s="232">
        <v>35</v>
      </c>
      <c r="AB282" s="232">
        <v>35</v>
      </c>
      <c r="AC282" s="232" t="s">
        <v>566</v>
      </c>
      <c r="AD282" s="232" t="s">
        <v>566</v>
      </c>
      <c r="AE282" s="430">
        <v>0</v>
      </c>
    </row>
    <row r="283" spans="1:31" x14ac:dyDescent="0.25">
      <c r="A283" s="108">
        <v>5913</v>
      </c>
      <c r="B283" s="226" t="s">
        <v>375</v>
      </c>
      <c r="C283" s="368">
        <v>905</v>
      </c>
      <c r="D283" s="371">
        <v>73</v>
      </c>
      <c r="E283" s="235">
        <v>1</v>
      </c>
      <c r="F283" s="231">
        <v>1318472.8999999999</v>
      </c>
      <c r="G283" s="232">
        <v>173821.37</v>
      </c>
      <c r="H283" s="232">
        <v>9377.7999999999993</v>
      </c>
      <c r="I283" s="232">
        <v>674.4</v>
      </c>
      <c r="J283" s="232">
        <v>0</v>
      </c>
      <c r="K283" s="232">
        <v>0</v>
      </c>
      <c r="L283" s="232">
        <v>-16115.07</v>
      </c>
      <c r="M283" s="232"/>
      <c r="N283" s="425">
        <f>Paramètres!$K$20/(Données!$H$302+Données!$I$302)*(Données!H283+Données!I283)</f>
        <v>955.73460953391611</v>
      </c>
      <c r="O283" s="232">
        <v>138992.24</v>
      </c>
      <c r="P283" s="232">
        <v>31621.599999999999</v>
      </c>
      <c r="Q283" s="232">
        <v>1422.7</v>
      </c>
      <c r="R283" s="232">
        <v>-556.85</v>
      </c>
      <c r="S283" s="232">
        <v>30121.85</v>
      </c>
      <c r="T283" s="232">
        <v>55799</v>
      </c>
      <c r="U283" s="232">
        <v>34681</v>
      </c>
      <c r="V283" s="232">
        <v>15784.65</v>
      </c>
      <c r="W283" s="233">
        <f t="shared" si="4"/>
        <v>1795053.3246095337</v>
      </c>
      <c r="X283" s="232">
        <v>893</v>
      </c>
      <c r="Y283" s="232">
        <v>0</v>
      </c>
      <c r="Z283" s="234">
        <v>0.11899999999999999</v>
      </c>
      <c r="AA283" s="232">
        <v>126</v>
      </c>
      <c r="AB283" s="232">
        <v>126</v>
      </c>
      <c r="AC283" s="232" t="s">
        <v>566</v>
      </c>
      <c r="AD283" s="232" t="s">
        <v>566</v>
      </c>
      <c r="AE283" s="430">
        <v>0</v>
      </c>
    </row>
    <row r="284" spans="1:31" x14ac:dyDescent="0.25">
      <c r="A284" s="108">
        <v>5914</v>
      </c>
      <c r="B284" s="226" t="s">
        <v>376</v>
      </c>
      <c r="C284" s="368">
        <v>376</v>
      </c>
      <c r="D284" s="371">
        <v>73.5</v>
      </c>
      <c r="E284" s="235">
        <v>1</v>
      </c>
      <c r="F284" s="231">
        <v>578094.31999999995</v>
      </c>
      <c r="G284" s="232">
        <v>47234.33</v>
      </c>
      <c r="H284" s="232">
        <v>7332.55</v>
      </c>
      <c r="I284" s="232">
        <v>3047.5</v>
      </c>
      <c r="J284" s="232">
        <v>0</v>
      </c>
      <c r="K284" s="232">
        <v>0</v>
      </c>
      <c r="L284" s="232">
        <v>-15227.66</v>
      </c>
      <c r="M284" s="232"/>
      <c r="N284" s="425">
        <f>Paramètres!$K$20/(Données!$H$302+Données!$I$302)*(Données!H284+Données!I284)</f>
        <v>986.9056558457379</v>
      </c>
      <c r="O284" s="232">
        <v>70081.350000000006</v>
      </c>
      <c r="P284" s="232">
        <v>14920.17</v>
      </c>
      <c r="Q284" s="232">
        <v>8054.15</v>
      </c>
      <c r="R284" s="232">
        <v>0</v>
      </c>
      <c r="S284" s="232">
        <v>47790.9</v>
      </c>
      <c r="T284" s="232">
        <v>1226.4000000000001</v>
      </c>
      <c r="U284" s="232">
        <v>59599.15</v>
      </c>
      <c r="V284" s="232">
        <v>62699.85</v>
      </c>
      <c r="W284" s="233">
        <f t="shared" si="4"/>
        <v>885839.91565584578</v>
      </c>
      <c r="X284" s="232">
        <v>469</v>
      </c>
      <c r="Y284" s="232">
        <v>0</v>
      </c>
      <c r="Z284" s="234">
        <v>0.08</v>
      </c>
      <c r="AA284" s="232">
        <v>53</v>
      </c>
      <c r="AB284" s="232">
        <v>26</v>
      </c>
      <c r="AC284" s="232" t="s">
        <v>566</v>
      </c>
      <c r="AD284" s="232" t="s">
        <v>566</v>
      </c>
      <c r="AE284" s="430">
        <v>1</v>
      </c>
    </row>
    <row r="285" spans="1:31" x14ac:dyDescent="0.25">
      <c r="A285" s="108">
        <v>5941</v>
      </c>
      <c r="B285" s="226" t="s">
        <v>597</v>
      </c>
      <c r="C285" s="368">
        <v>1003</v>
      </c>
      <c r="D285" s="371">
        <v>72</v>
      </c>
      <c r="E285" s="235">
        <v>1.2</v>
      </c>
      <c r="F285" s="231">
        <v>1645278.4300000002</v>
      </c>
      <c r="G285" s="231">
        <v>212726.5</v>
      </c>
      <c r="H285" s="231">
        <v>46323.649999999994</v>
      </c>
      <c r="I285" s="231">
        <v>15974.3</v>
      </c>
      <c r="J285" s="231">
        <v>0</v>
      </c>
      <c r="K285" s="231">
        <v>6776.43</v>
      </c>
      <c r="L285" s="231">
        <v>-34680.410000000003</v>
      </c>
      <c r="M285" s="231"/>
      <c r="N285" s="425">
        <f>Paramètres!$K$20/(Données!$H$302+Données!$I$302)*(Données!H285+Données!I285)</f>
        <v>5923.1120469164398</v>
      </c>
      <c r="O285" s="232">
        <v>214946.24</v>
      </c>
      <c r="P285" s="232">
        <v>73520.36</v>
      </c>
      <c r="Q285" s="232">
        <v>15518.800000000001</v>
      </c>
      <c r="R285" s="232">
        <v>-632.05000000000007</v>
      </c>
      <c r="S285" s="232">
        <v>124160.1</v>
      </c>
      <c r="T285" s="232">
        <v>78501.2</v>
      </c>
      <c r="U285" s="232">
        <v>31388.3</v>
      </c>
      <c r="V285" s="232">
        <v>45413.2</v>
      </c>
      <c r="W285" s="233">
        <f t="shared" si="4"/>
        <v>2481138.1620469168</v>
      </c>
      <c r="X285" s="232">
        <v>1046</v>
      </c>
      <c r="Y285" s="232">
        <v>0</v>
      </c>
      <c r="Z285" s="234">
        <v>2.1999999999999999E-2</v>
      </c>
      <c r="AA285" s="232">
        <v>103</v>
      </c>
      <c r="AB285" s="232">
        <v>103</v>
      </c>
      <c r="AC285" s="232" t="s">
        <v>566</v>
      </c>
      <c r="AD285" s="232" t="s">
        <v>566</v>
      </c>
      <c r="AE285" s="430">
        <v>1</v>
      </c>
    </row>
    <row r="286" spans="1:31" x14ac:dyDescent="0.25">
      <c r="A286" s="108">
        <v>5921</v>
      </c>
      <c r="B286" s="226" t="s">
        <v>378</v>
      </c>
      <c r="C286" s="368">
        <v>260</v>
      </c>
      <c r="D286" s="371">
        <v>81</v>
      </c>
      <c r="E286" s="235">
        <v>1</v>
      </c>
      <c r="F286" s="231">
        <v>386243.22</v>
      </c>
      <c r="G286" s="232">
        <v>82206.05</v>
      </c>
      <c r="H286" s="232">
        <v>4920.1499999999996</v>
      </c>
      <c r="I286" s="232">
        <v>2241.5500000000002</v>
      </c>
      <c r="J286" s="232">
        <v>0</v>
      </c>
      <c r="K286" s="232">
        <v>1882.24</v>
      </c>
      <c r="L286" s="232">
        <v>-9883.23</v>
      </c>
      <c r="M286" s="232"/>
      <c r="N286" s="425">
        <f>Paramètres!$K$20/(Données!$H$302+Données!$I$302)*(Données!H286+Données!I286)</f>
        <v>680.91408379250788</v>
      </c>
      <c r="O286" s="232">
        <v>42713.3</v>
      </c>
      <c r="P286" s="232">
        <v>25244.76</v>
      </c>
      <c r="Q286" s="232">
        <v>0</v>
      </c>
      <c r="R286" s="232">
        <v>0</v>
      </c>
      <c r="S286" s="232">
        <v>25320.5</v>
      </c>
      <c r="T286" s="232">
        <v>1845</v>
      </c>
      <c r="U286" s="232">
        <v>33710.65</v>
      </c>
      <c r="V286" s="232">
        <v>5872.95</v>
      </c>
      <c r="W286" s="233">
        <f t="shared" si="4"/>
        <v>602998.05408379238</v>
      </c>
      <c r="X286" s="232">
        <v>552</v>
      </c>
      <c r="Y286" s="232">
        <v>0</v>
      </c>
      <c r="Z286" s="234">
        <v>0.13900000000000001</v>
      </c>
      <c r="AA286" s="232">
        <v>42</v>
      </c>
      <c r="AB286" s="232">
        <v>42</v>
      </c>
      <c r="AC286" s="232" t="s">
        <v>566</v>
      </c>
      <c r="AD286" s="232" t="s">
        <v>566</v>
      </c>
      <c r="AE286" s="430">
        <v>0</v>
      </c>
    </row>
    <row r="287" spans="1:31" x14ac:dyDescent="0.25">
      <c r="A287" s="108">
        <v>5922</v>
      </c>
      <c r="B287" s="226" t="s">
        <v>379</v>
      </c>
      <c r="C287" s="368">
        <v>768</v>
      </c>
      <c r="D287" s="371">
        <v>64.5</v>
      </c>
      <c r="E287" s="235">
        <v>0.8</v>
      </c>
      <c r="F287" s="231">
        <v>1274969.68</v>
      </c>
      <c r="G287" s="232">
        <v>197893.18</v>
      </c>
      <c r="H287" s="232">
        <v>493849.45</v>
      </c>
      <c r="I287" s="232">
        <v>40216.35</v>
      </c>
      <c r="J287" s="232">
        <v>0</v>
      </c>
      <c r="K287" s="232">
        <v>17815.169999999998</v>
      </c>
      <c r="L287" s="232">
        <v>-29517.45</v>
      </c>
      <c r="M287" s="232"/>
      <c r="N287" s="425">
        <f>Paramètres!$K$20/(Données!$H$302+Données!$I$302)*(Données!H287+Données!I287)</f>
        <v>50777.458549214964</v>
      </c>
      <c r="O287" s="232">
        <v>298545.05</v>
      </c>
      <c r="P287" s="232">
        <v>147874.54999999999</v>
      </c>
      <c r="Q287" s="232">
        <v>39244</v>
      </c>
      <c r="R287" s="232">
        <v>-1256.5999999999999</v>
      </c>
      <c r="S287" s="232">
        <v>95533.85</v>
      </c>
      <c r="T287" s="232">
        <v>51876</v>
      </c>
      <c r="U287" s="232">
        <v>67212.75</v>
      </c>
      <c r="V287" s="232">
        <v>524935.94999999995</v>
      </c>
      <c r="W287" s="233">
        <f t="shared" si="4"/>
        <v>3269969.3885492142</v>
      </c>
      <c r="X287" s="232">
        <v>348</v>
      </c>
      <c r="Y287" s="232">
        <v>0</v>
      </c>
      <c r="Z287" s="234">
        <v>0.06</v>
      </c>
      <c r="AA287" s="232">
        <v>84</v>
      </c>
      <c r="AB287" s="232">
        <v>53</v>
      </c>
      <c r="AC287" s="232">
        <v>296541</v>
      </c>
      <c r="AD287" s="232">
        <v>0</v>
      </c>
      <c r="AE287" s="430">
        <v>0</v>
      </c>
    </row>
    <row r="288" spans="1:31" x14ac:dyDescent="0.25">
      <c r="A288" s="108">
        <v>5923</v>
      </c>
      <c r="B288" s="226" t="s">
        <v>380</v>
      </c>
      <c r="C288" s="368">
        <v>201</v>
      </c>
      <c r="D288" s="371">
        <v>79</v>
      </c>
      <c r="E288" s="235">
        <v>1</v>
      </c>
      <c r="F288" s="231">
        <v>345598.48</v>
      </c>
      <c r="G288" s="232">
        <v>37721.17</v>
      </c>
      <c r="H288" s="232">
        <v>2776.25</v>
      </c>
      <c r="I288" s="232">
        <v>1861</v>
      </c>
      <c r="J288" s="232">
        <v>0</v>
      </c>
      <c r="K288" s="232">
        <v>0</v>
      </c>
      <c r="L288" s="232">
        <v>-934.64</v>
      </c>
      <c r="M288" s="232"/>
      <c r="N288" s="425">
        <f>Paramètres!$K$20/(Données!$H$302+Données!$I$302)*(Données!H288+Données!I288)</f>
        <v>440.89655180568963</v>
      </c>
      <c r="O288" s="232">
        <v>27547.7</v>
      </c>
      <c r="P288" s="232">
        <v>16118.91</v>
      </c>
      <c r="Q288" s="232">
        <v>0</v>
      </c>
      <c r="R288" s="232">
        <v>0</v>
      </c>
      <c r="S288" s="232">
        <v>9642.6</v>
      </c>
      <c r="T288" s="232">
        <v>0</v>
      </c>
      <c r="U288" s="232">
        <v>0</v>
      </c>
      <c r="V288" s="232">
        <v>29797.55</v>
      </c>
      <c r="W288" s="233">
        <f t="shared" si="4"/>
        <v>470569.91655180557</v>
      </c>
      <c r="X288" s="232">
        <v>358</v>
      </c>
      <c r="Y288" s="232">
        <v>0</v>
      </c>
      <c r="Z288" s="234">
        <v>0.107</v>
      </c>
      <c r="AA288" s="232">
        <v>26</v>
      </c>
      <c r="AB288" s="232">
        <v>18</v>
      </c>
      <c r="AC288" s="232" t="s">
        <v>566</v>
      </c>
      <c r="AD288" s="232" t="s">
        <v>566</v>
      </c>
      <c r="AE288" s="430">
        <v>0</v>
      </c>
    </row>
    <row r="289" spans="1:31" x14ac:dyDescent="0.25">
      <c r="A289" s="108">
        <v>5924</v>
      </c>
      <c r="B289" s="226" t="s">
        <v>381</v>
      </c>
      <c r="C289" s="368">
        <v>416</v>
      </c>
      <c r="D289" s="371">
        <v>74</v>
      </c>
      <c r="E289" s="235">
        <v>1</v>
      </c>
      <c r="F289" s="231">
        <f>984176.46-125000</f>
        <v>859176.46</v>
      </c>
      <c r="G289" s="232">
        <v>104785.15</v>
      </c>
      <c r="H289" s="232">
        <v>24092.400000000001</v>
      </c>
      <c r="I289" s="232">
        <v>3532.5</v>
      </c>
      <c r="J289" s="232">
        <v>0</v>
      </c>
      <c r="K289" s="232">
        <v>0</v>
      </c>
      <c r="L289" s="232">
        <v>-1450.18</v>
      </c>
      <c r="M289" s="232"/>
      <c r="N289" s="425">
        <f>Paramètres!$K$20/(Données!$H$302+Données!$I$302)*(Données!H289+Données!I289)</f>
        <v>2626.49698721807</v>
      </c>
      <c r="O289" s="232">
        <v>82547.100000000006</v>
      </c>
      <c r="P289" s="232">
        <v>11877.28</v>
      </c>
      <c r="Q289" s="232">
        <v>0</v>
      </c>
      <c r="R289" s="232">
        <v>0</v>
      </c>
      <c r="S289" s="232">
        <v>59993.4</v>
      </c>
      <c r="T289" s="232">
        <v>0</v>
      </c>
      <c r="U289" s="232">
        <v>64651.45</v>
      </c>
      <c r="V289" s="232">
        <v>55185.95</v>
      </c>
      <c r="W289" s="233">
        <f t="shared" si="4"/>
        <v>1267018.0069872178</v>
      </c>
      <c r="X289" s="232">
        <v>405</v>
      </c>
      <c r="Y289" s="232">
        <v>0</v>
      </c>
      <c r="Z289" s="234">
        <v>1.2999999999999999E-2</v>
      </c>
      <c r="AA289" s="232">
        <v>49</v>
      </c>
      <c r="AB289" s="232">
        <v>42</v>
      </c>
      <c r="AC289" s="232" t="s">
        <v>566</v>
      </c>
      <c r="AD289" s="232" t="s">
        <v>566</v>
      </c>
      <c r="AE289" s="430">
        <v>0</v>
      </c>
    </row>
    <row r="290" spans="1:31" x14ac:dyDescent="0.25">
      <c r="A290" s="108">
        <v>5925</v>
      </c>
      <c r="B290" s="226" t="s">
        <v>382</v>
      </c>
      <c r="C290" s="368">
        <v>216</v>
      </c>
      <c r="D290" s="371">
        <v>79</v>
      </c>
      <c r="E290" s="235">
        <v>1</v>
      </c>
      <c r="F290" s="231">
        <v>367080.12</v>
      </c>
      <c r="G290" s="232">
        <v>66601.97</v>
      </c>
      <c r="H290" s="232">
        <v>588.20000000000005</v>
      </c>
      <c r="I290" s="232">
        <v>1811.35</v>
      </c>
      <c r="J290" s="232">
        <v>0</v>
      </c>
      <c r="K290" s="232">
        <v>2177.34</v>
      </c>
      <c r="L290" s="232">
        <v>-419.5</v>
      </c>
      <c r="M290" s="232"/>
      <c r="N290" s="425">
        <f>Paramètres!$K$20/(Données!$H$302+Données!$I$302)*(Données!H290+Données!I290)</f>
        <v>228.14239492918057</v>
      </c>
      <c r="O290" s="232">
        <v>36444.65</v>
      </c>
      <c r="P290" s="232">
        <v>3697.02</v>
      </c>
      <c r="Q290" s="232">
        <v>0</v>
      </c>
      <c r="R290" s="232">
        <v>0</v>
      </c>
      <c r="S290" s="232">
        <f>71829.95-60000</f>
        <v>11829.949999999997</v>
      </c>
      <c r="T290" s="232">
        <f>235125-235000</f>
        <v>125</v>
      </c>
      <c r="U290" s="232">
        <v>29903.7</v>
      </c>
      <c r="V290" s="232">
        <v>7528.55</v>
      </c>
      <c r="W290" s="233">
        <f t="shared" si="4"/>
        <v>527596.49239492929</v>
      </c>
      <c r="X290" s="232">
        <v>420</v>
      </c>
      <c r="Y290" s="232">
        <v>0</v>
      </c>
      <c r="Z290" s="234">
        <v>6.3E-2</v>
      </c>
      <c r="AA290" s="232">
        <v>20</v>
      </c>
      <c r="AB290" s="232">
        <v>20</v>
      </c>
      <c r="AC290" s="232" t="s">
        <v>566</v>
      </c>
      <c r="AD290" s="232" t="s">
        <v>566</v>
      </c>
      <c r="AE290" s="430">
        <v>0</v>
      </c>
    </row>
    <row r="291" spans="1:31" x14ac:dyDescent="0.25">
      <c r="A291" s="108">
        <v>5926</v>
      </c>
      <c r="B291" s="226" t="s">
        <v>383</v>
      </c>
      <c r="C291" s="368">
        <v>904</v>
      </c>
      <c r="D291" s="371">
        <v>71</v>
      </c>
      <c r="E291" s="235">
        <v>1</v>
      </c>
      <c r="F291" s="231">
        <v>1635533.63</v>
      </c>
      <c r="G291" s="232">
        <v>233875.03</v>
      </c>
      <c r="H291" s="232">
        <v>63461.599999999999</v>
      </c>
      <c r="I291" s="232">
        <v>3411.25</v>
      </c>
      <c r="J291" s="232">
        <v>0</v>
      </c>
      <c r="K291" s="232">
        <v>0</v>
      </c>
      <c r="L291" s="232">
        <v>-40186.879999999997</v>
      </c>
      <c r="M291" s="232"/>
      <c r="N291" s="425">
        <f>Paramètres!$K$20/(Données!$H$302+Données!$I$302)*(Données!H291+Données!I291)</f>
        <v>6358.0805379091298</v>
      </c>
      <c r="O291" s="232">
        <v>155409.15</v>
      </c>
      <c r="P291" s="232">
        <v>31796.81</v>
      </c>
      <c r="Q291" s="232">
        <v>0</v>
      </c>
      <c r="R291" s="232">
        <v>-940.1</v>
      </c>
      <c r="S291" s="232">
        <v>70124.399999999994</v>
      </c>
      <c r="T291" s="232">
        <v>25936.3</v>
      </c>
      <c r="U291" s="232">
        <v>37668.800000000003</v>
      </c>
      <c r="V291" s="232">
        <v>29532.5</v>
      </c>
      <c r="W291" s="233">
        <f t="shared" si="4"/>
        <v>2251980.5705379089</v>
      </c>
      <c r="X291" s="232">
        <v>559</v>
      </c>
      <c r="Y291" s="232">
        <v>0</v>
      </c>
      <c r="Z291" s="234">
        <v>3.6999999999999998E-2</v>
      </c>
      <c r="AA291" s="232">
        <v>138</v>
      </c>
      <c r="AB291" s="232">
        <v>86</v>
      </c>
      <c r="AC291" s="232" t="s">
        <v>566</v>
      </c>
      <c r="AD291" s="232" t="s">
        <v>566</v>
      </c>
      <c r="AE291" s="430">
        <v>1</v>
      </c>
    </row>
    <row r="292" spans="1:31" x14ac:dyDescent="0.25">
      <c r="A292" s="108">
        <v>5928</v>
      </c>
      <c r="B292" s="226" t="s">
        <v>384</v>
      </c>
      <c r="C292" s="368">
        <v>198</v>
      </c>
      <c r="D292" s="371">
        <v>73</v>
      </c>
      <c r="E292" s="235">
        <v>1</v>
      </c>
      <c r="F292" s="231">
        <v>278876.7</v>
      </c>
      <c r="G292" s="232">
        <v>34846.129999999997</v>
      </c>
      <c r="H292" s="232">
        <v>26826.5</v>
      </c>
      <c r="I292" s="232">
        <v>934.05</v>
      </c>
      <c r="J292" s="232">
        <v>0</v>
      </c>
      <c r="K292" s="232">
        <v>0</v>
      </c>
      <c r="L292" s="232">
        <v>-8826.93</v>
      </c>
      <c r="M292" s="232"/>
      <c r="N292" s="425">
        <f>Paramètres!$K$20/(Données!$H$302+Données!$I$302)*(Données!H292+Données!I292)</f>
        <v>2639.394203726225</v>
      </c>
      <c r="O292" s="232">
        <v>29902.05</v>
      </c>
      <c r="P292" s="232">
        <v>7278.19</v>
      </c>
      <c r="Q292" s="232">
        <v>0</v>
      </c>
      <c r="R292" s="232">
        <v>0</v>
      </c>
      <c r="S292" s="232">
        <v>0</v>
      </c>
      <c r="T292" s="232">
        <v>0</v>
      </c>
      <c r="U292" s="232">
        <v>0</v>
      </c>
      <c r="V292" s="232">
        <v>0</v>
      </c>
      <c r="W292" s="233">
        <f t="shared" si="4"/>
        <v>372476.0842037262</v>
      </c>
      <c r="X292" s="232">
        <v>322</v>
      </c>
      <c r="Y292" s="232">
        <v>0</v>
      </c>
      <c r="Z292" s="234">
        <v>7.9000000000000001E-2</v>
      </c>
      <c r="AA292" s="232">
        <v>37</v>
      </c>
      <c r="AB292" s="232">
        <v>37</v>
      </c>
      <c r="AC292" s="232" t="s">
        <v>566</v>
      </c>
      <c r="AD292" s="232" t="s">
        <v>566</v>
      </c>
      <c r="AE292" s="430">
        <v>0</v>
      </c>
    </row>
    <row r="293" spans="1:31" x14ac:dyDescent="0.25">
      <c r="A293" s="108">
        <v>5929</v>
      </c>
      <c r="B293" s="226" t="s">
        <v>385</v>
      </c>
      <c r="C293" s="368">
        <v>672</v>
      </c>
      <c r="D293" s="371">
        <v>70</v>
      </c>
      <c r="E293" s="235">
        <v>0.8</v>
      </c>
      <c r="F293" s="231">
        <v>1255111.75</v>
      </c>
      <c r="G293" s="232">
        <v>125104.5</v>
      </c>
      <c r="H293" s="232">
        <v>55565.1</v>
      </c>
      <c r="I293" s="232">
        <v>1752.35</v>
      </c>
      <c r="J293" s="232">
        <v>70205.3</v>
      </c>
      <c r="K293" s="232">
        <v>117.05</v>
      </c>
      <c r="L293" s="232">
        <v>-21234.03</v>
      </c>
      <c r="M293" s="232"/>
      <c r="N293" s="425">
        <f>Paramètres!$K$20/(Données!$H$302+Données!$I$302)*(Données!H293+Données!I293)</f>
        <v>5449.5802605628387</v>
      </c>
      <c r="O293" s="232">
        <v>100892.35</v>
      </c>
      <c r="P293" s="232">
        <v>11235.08</v>
      </c>
      <c r="Q293" s="232">
        <v>0</v>
      </c>
      <c r="R293" s="232">
        <v>-12.7</v>
      </c>
      <c r="S293" s="232">
        <v>58823.9</v>
      </c>
      <c r="T293" s="232">
        <v>8024.9</v>
      </c>
      <c r="U293" s="232">
        <v>22857.65</v>
      </c>
      <c r="V293" s="232">
        <v>18198.7</v>
      </c>
      <c r="W293" s="233">
        <f t="shared" si="4"/>
        <v>1712091.4802605631</v>
      </c>
      <c r="X293" s="232">
        <v>665</v>
      </c>
      <c r="Y293" s="232">
        <v>0</v>
      </c>
      <c r="Z293" s="234">
        <v>3.3000000000000002E-2</v>
      </c>
      <c r="AA293" s="232">
        <v>102</v>
      </c>
      <c r="AB293" s="232">
        <v>101</v>
      </c>
      <c r="AC293" s="232" t="s">
        <v>566</v>
      </c>
      <c r="AD293" s="232" t="s">
        <v>566</v>
      </c>
      <c r="AE293" s="430">
        <v>1</v>
      </c>
    </row>
    <row r="294" spans="1:31" x14ac:dyDescent="0.25">
      <c r="A294" s="108">
        <v>5931</v>
      </c>
      <c r="B294" s="226" t="s">
        <v>387</v>
      </c>
      <c r="C294" s="368">
        <v>518</v>
      </c>
      <c r="D294" s="371">
        <v>73</v>
      </c>
      <c r="E294" s="235">
        <v>1</v>
      </c>
      <c r="F294" s="231">
        <v>795982.22</v>
      </c>
      <c r="G294" s="232">
        <v>108174.91</v>
      </c>
      <c r="H294" s="232">
        <v>60815.35</v>
      </c>
      <c r="I294" s="232">
        <v>3667.8</v>
      </c>
      <c r="J294" s="232">
        <v>0</v>
      </c>
      <c r="K294" s="232">
        <v>4679.21</v>
      </c>
      <c r="L294" s="232">
        <v>-8781.17</v>
      </c>
      <c r="M294" s="232"/>
      <c r="N294" s="425">
        <f>Paramètres!$K$20/(Données!$H$302+Données!$I$302)*(Données!H294+Données!I294)</f>
        <v>6130.8746529880973</v>
      </c>
      <c r="O294" s="232">
        <v>93208.15</v>
      </c>
      <c r="P294" s="232">
        <v>29659.48</v>
      </c>
      <c r="Q294" s="232">
        <v>1351.4</v>
      </c>
      <c r="R294" s="232">
        <v>-53.05</v>
      </c>
      <c r="S294" s="232">
        <v>54010</v>
      </c>
      <c r="T294" s="232">
        <v>0</v>
      </c>
      <c r="U294" s="232">
        <v>42701.15</v>
      </c>
      <c r="V294" s="232">
        <v>18214.7</v>
      </c>
      <c r="W294" s="233">
        <f t="shared" si="4"/>
        <v>1209761.0246529877</v>
      </c>
      <c r="X294" s="232">
        <v>204</v>
      </c>
      <c r="Y294" s="232">
        <v>0</v>
      </c>
      <c r="Z294" s="234">
        <v>1.7999999999999999E-2</v>
      </c>
      <c r="AA294" s="232">
        <v>57</v>
      </c>
      <c r="AB294" s="232">
        <v>13</v>
      </c>
      <c r="AC294" s="232" t="s">
        <v>566</v>
      </c>
      <c r="AD294" s="232" t="s">
        <v>566</v>
      </c>
      <c r="AE294" s="430">
        <v>1</v>
      </c>
    </row>
    <row r="295" spans="1:31" x14ac:dyDescent="0.25">
      <c r="A295" s="108">
        <v>5932</v>
      </c>
      <c r="B295" s="226" t="s">
        <v>102</v>
      </c>
      <c r="C295" s="368">
        <v>227</v>
      </c>
      <c r="D295" s="371">
        <v>75</v>
      </c>
      <c r="E295" s="235">
        <v>1</v>
      </c>
      <c r="F295" s="231">
        <v>616819.49</v>
      </c>
      <c r="G295" s="232">
        <v>64412.51</v>
      </c>
      <c r="H295" s="232">
        <v>1933.35</v>
      </c>
      <c r="I295" s="232">
        <v>1384.95</v>
      </c>
      <c r="J295" s="232">
        <v>49480.45</v>
      </c>
      <c r="K295" s="232">
        <v>0</v>
      </c>
      <c r="L295" s="232">
        <v>-19886.34</v>
      </c>
      <c r="M295" s="232"/>
      <c r="N295" s="425">
        <f>Paramètres!$K$20/(Données!$H$302+Données!$I$302)*(Données!H295+Données!I295)</f>
        <v>315.4945340140859</v>
      </c>
      <c r="O295" s="232">
        <v>35500.800000000003</v>
      </c>
      <c r="P295" s="232">
        <v>10538.86</v>
      </c>
      <c r="Q295" s="232">
        <v>819.5</v>
      </c>
      <c r="R295" s="232">
        <v>-550.45000000000005</v>
      </c>
      <c r="S295" s="232">
        <v>19736.849999999999</v>
      </c>
      <c r="T295" s="232">
        <v>0</v>
      </c>
      <c r="U295" s="232">
        <v>21752.400000000001</v>
      </c>
      <c r="V295" s="232">
        <v>0</v>
      </c>
      <c r="W295" s="233">
        <f t="shared" si="4"/>
        <v>802257.86453401414</v>
      </c>
      <c r="X295" s="232">
        <v>339</v>
      </c>
      <c r="Y295" s="232">
        <v>0</v>
      </c>
      <c r="Z295" s="234">
        <v>1.7000000000000001E-2</v>
      </c>
      <c r="AA295" s="232">
        <v>20</v>
      </c>
      <c r="AB295" s="232">
        <v>20</v>
      </c>
      <c r="AC295" s="232" t="s">
        <v>566</v>
      </c>
      <c r="AD295" s="232" t="s">
        <v>566</v>
      </c>
      <c r="AE295" s="430">
        <v>0</v>
      </c>
    </row>
    <row r="296" spans="1:31" x14ac:dyDescent="0.25">
      <c r="A296" s="108">
        <v>5933</v>
      </c>
      <c r="B296" s="226" t="s">
        <v>388</v>
      </c>
      <c r="C296" s="368">
        <v>717</v>
      </c>
      <c r="D296" s="371">
        <v>70.5</v>
      </c>
      <c r="E296" s="235">
        <v>1</v>
      </c>
      <c r="F296" s="231">
        <v>1412703.62</v>
      </c>
      <c r="G296" s="232">
        <v>220961.75</v>
      </c>
      <c r="H296" s="232">
        <v>46705.35</v>
      </c>
      <c r="I296" s="232">
        <v>2456.1</v>
      </c>
      <c r="J296" s="232">
        <v>0</v>
      </c>
      <c r="K296" s="232">
        <v>3871.66</v>
      </c>
      <c r="L296" s="232">
        <v>-18311.650000000001</v>
      </c>
      <c r="M296" s="232"/>
      <c r="N296" s="425">
        <f>Paramètres!$K$20/(Données!$H$302+Données!$I$302)*(Données!H296+Données!I296)</f>
        <v>4674.1309583843486</v>
      </c>
      <c r="O296" s="232">
        <v>135185.75</v>
      </c>
      <c r="P296" s="232">
        <v>11228.73</v>
      </c>
      <c r="Q296" s="232">
        <v>4722.05</v>
      </c>
      <c r="R296" s="232">
        <v>-33.299999999999997</v>
      </c>
      <c r="S296" s="232">
        <v>77400.399999999994</v>
      </c>
      <c r="T296" s="232">
        <v>9.1999999999999993</v>
      </c>
      <c r="U296" s="232">
        <v>57231.05</v>
      </c>
      <c r="V296" s="232">
        <v>24760.85</v>
      </c>
      <c r="W296" s="233">
        <f t="shared" si="4"/>
        <v>1983565.6909583847</v>
      </c>
      <c r="X296" s="232">
        <v>225</v>
      </c>
      <c r="Y296" s="232">
        <v>0</v>
      </c>
      <c r="Z296" s="234">
        <v>6.8000000000000005E-2</v>
      </c>
      <c r="AA296" s="232">
        <v>71</v>
      </c>
      <c r="AB296" s="232">
        <v>23</v>
      </c>
      <c r="AC296" s="232" t="s">
        <v>566</v>
      </c>
      <c r="AD296" s="232" t="s">
        <v>566</v>
      </c>
      <c r="AE296" s="430">
        <v>0</v>
      </c>
    </row>
    <row r="297" spans="1:31" x14ac:dyDescent="0.25">
      <c r="A297" s="108">
        <v>5934</v>
      </c>
      <c r="B297" s="226" t="s">
        <v>389</v>
      </c>
      <c r="C297" s="368">
        <v>225</v>
      </c>
      <c r="D297" s="371">
        <v>77</v>
      </c>
      <c r="E297" s="235">
        <v>1</v>
      </c>
      <c r="F297" s="231">
        <v>446990.99</v>
      </c>
      <c r="G297" s="232">
        <v>40611.58</v>
      </c>
      <c r="H297" s="232">
        <v>2247.6</v>
      </c>
      <c r="I297" s="232">
        <v>896.35</v>
      </c>
      <c r="J297" s="232">
        <v>0</v>
      </c>
      <c r="K297" s="232">
        <v>0</v>
      </c>
      <c r="L297" s="232">
        <v>-8028.37</v>
      </c>
      <c r="M297" s="232"/>
      <c r="N297" s="425">
        <f>Paramètres!$K$20/(Données!$H$302+Données!$I$302)*(Données!H297+Données!I297)</f>
        <v>298.91783148406876</v>
      </c>
      <c r="O297" s="232">
        <v>34078.699999999997</v>
      </c>
      <c r="P297" s="232">
        <v>10213.780000000001</v>
      </c>
      <c r="Q297" s="232">
        <v>1963.5</v>
      </c>
      <c r="R297" s="232">
        <v>-108.75</v>
      </c>
      <c r="S297" s="232">
        <v>9432.5</v>
      </c>
      <c r="T297" s="232">
        <v>3795</v>
      </c>
      <c r="U297" s="232">
        <v>1125</v>
      </c>
      <c r="V297" s="232">
        <v>0</v>
      </c>
      <c r="W297" s="233">
        <f t="shared" si="4"/>
        <v>543516.797831484</v>
      </c>
      <c r="X297" s="232">
        <v>286</v>
      </c>
      <c r="Y297" s="232">
        <v>0</v>
      </c>
      <c r="Z297" s="234">
        <v>0.08</v>
      </c>
      <c r="AA297" s="232">
        <v>21</v>
      </c>
      <c r="AB297" s="232">
        <v>21</v>
      </c>
      <c r="AC297" s="232" t="s">
        <v>566</v>
      </c>
      <c r="AD297" s="232" t="s">
        <v>566</v>
      </c>
      <c r="AE297" s="430">
        <v>0.75</v>
      </c>
    </row>
    <row r="298" spans="1:31" x14ac:dyDescent="0.25">
      <c r="A298" s="108">
        <v>5935</v>
      </c>
      <c r="B298" s="226" t="s">
        <v>390</v>
      </c>
      <c r="C298" s="368">
        <v>109</v>
      </c>
      <c r="D298" s="371">
        <v>68</v>
      </c>
      <c r="E298" s="235">
        <v>1</v>
      </c>
      <c r="F298" s="231">
        <v>294534.14</v>
      </c>
      <c r="G298" s="232">
        <v>127362.56</v>
      </c>
      <c r="H298" s="232">
        <v>13743.75</v>
      </c>
      <c r="I298" s="232">
        <v>1322.65</v>
      </c>
      <c r="J298" s="232">
        <v>0</v>
      </c>
      <c r="K298" s="232">
        <v>84.9</v>
      </c>
      <c r="L298" s="232">
        <v>-17624.89</v>
      </c>
      <c r="M298" s="232"/>
      <c r="N298" s="425">
        <f>Paramètres!$K$20/(Données!$H$302+Données!$I$302)*(Données!H298+Données!I298)</f>
        <v>1432.4704961184414</v>
      </c>
      <c r="O298" s="232">
        <v>24417.4</v>
      </c>
      <c r="P298" s="232">
        <v>1265.42</v>
      </c>
      <c r="Q298" s="232">
        <v>0</v>
      </c>
      <c r="R298" s="232">
        <v>-1466.35</v>
      </c>
      <c r="S298" s="232">
        <v>30250</v>
      </c>
      <c r="T298" s="232">
        <v>0</v>
      </c>
      <c r="U298" s="232">
        <v>42369.45</v>
      </c>
      <c r="V298" s="232">
        <v>0</v>
      </c>
      <c r="W298" s="233">
        <f t="shared" si="4"/>
        <v>517691.5004961185</v>
      </c>
      <c r="X298" s="232">
        <v>88</v>
      </c>
      <c r="Y298" s="232">
        <v>0</v>
      </c>
      <c r="Z298" s="234">
        <v>1.9E-2</v>
      </c>
      <c r="AA298" s="232">
        <v>13</v>
      </c>
      <c r="AB298" s="232">
        <v>13</v>
      </c>
      <c r="AC298" s="232" t="s">
        <v>566</v>
      </c>
      <c r="AD298" s="232" t="s">
        <v>566</v>
      </c>
      <c r="AE298" s="430">
        <v>0</v>
      </c>
    </row>
    <row r="299" spans="1:31" x14ac:dyDescent="0.25">
      <c r="A299" s="108">
        <v>5937</v>
      </c>
      <c r="B299" s="226" t="s">
        <v>391</v>
      </c>
      <c r="C299" s="368">
        <v>142</v>
      </c>
      <c r="D299" s="371">
        <v>70</v>
      </c>
      <c r="E299" s="235">
        <v>0.7</v>
      </c>
      <c r="F299" s="231">
        <v>167043.47</v>
      </c>
      <c r="G299" s="232">
        <v>35372.769999999997</v>
      </c>
      <c r="H299" s="232">
        <v>11623.55</v>
      </c>
      <c r="I299" s="232">
        <v>685</v>
      </c>
      <c r="J299" s="232">
        <v>0</v>
      </c>
      <c r="K299" s="232">
        <v>0</v>
      </c>
      <c r="L299" s="232">
        <v>-5450.04</v>
      </c>
      <c r="M299" s="232"/>
      <c r="N299" s="425">
        <f>Paramètres!$K$20/(Données!$H$302+Données!$I$302)*(Données!H299+Données!I299)</f>
        <v>1170.261955410625</v>
      </c>
      <c r="O299" s="232">
        <v>14271.39</v>
      </c>
      <c r="P299" s="232">
        <v>10720.64</v>
      </c>
      <c r="Q299" s="232">
        <v>0</v>
      </c>
      <c r="R299" s="232">
        <v>0</v>
      </c>
      <c r="S299" s="232">
        <v>0</v>
      </c>
      <c r="T299" s="232">
        <v>0</v>
      </c>
      <c r="U299" s="232">
        <v>0</v>
      </c>
      <c r="V299" s="232">
        <v>2693.45</v>
      </c>
      <c r="W299" s="233">
        <f t="shared" si="4"/>
        <v>238130.49195541063</v>
      </c>
      <c r="X299" s="232">
        <v>303</v>
      </c>
      <c r="Y299" s="232">
        <v>0</v>
      </c>
      <c r="Z299" s="234">
        <v>0.52900000000000003</v>
      </c>
      <c r="AA299" s="232">
        <v>10</v>
      </c>
      <c r="AB299" s="232">
        <v>10</v>
      </c>
      <c r="AC299" s="232" t="s">
        <v>566</v>
      </c>
      <c r="AD299" s="232" t="s">
        <v>566</v>
      </c>
      <c r="AE299" s="430">
        <v>0</v>
      </c>
    </row>
    <row r="300" spans="1:31" x14ac:dyDescent="0.25">
      <c r="A300" s="108">
        <v>5938</v>
      </c>
      <c r="B300" s="226" t="s">
        <v>103</v>
      </c>
      <c r="C300" s="368">
        <v>30600</v>
      </c>
      <c r="D300" s="371">
        <v>75</v>
      </c>
      <c r="E300" s="235">
        <v>1.5</v>
      </c>
      <c r="F300" s="231">
        <v>41459093.649999999</v>
      </c>
      <c r="G300" s="232">
        <v>4780032.42</v>
      </c>
      <c r="H300" s="232">
        <v>4258131.8499999996</v>
      </c>
      <c r="I300" s="232">
        <v>782111.35</v>
      </c>
      <c r="J300" s="232">
        <v>0</v>
      </c>
      <c r="K300" s="232">
        <v>426917.49</v>
      </c>
      <c r="L300" s="232">
        <v>-1272176.17</v>
      </c>
      <c r="M300" s="232"/>
      <c r="N300" s="425">
        <f>Paramètres!$K$20/(Données!$H$302+Données!$I$302)*(Données!H300+Données!I300)</f>
        <v>479212.00003063766</v>
      </c>
      <c r="O300" s="232">
        <v>7566414.3499999996</v>
      </c>
      <c r="P300" s="232">
        <v>2414086.85</v>
      </c>
      <c r="Q300" s="232">
        <v>701691</v>
      </c>
      <c r="R300" s="232">
        <v>-15576.66</v>
      </c>
      <c r="S300" s="232">
        <v>1387528.25</v>
      </c>
      <c r="T300" s="232">
        <v>1431554.4</v>
      </c>
      <c r="U300" s="232">
        <f>5746514.15-2100000</f>
        <v>3646514.1500000004</v>
      </c>
      <c r="V300" s="232">
        <v>7963901.5</v>
      </c>
      <c r="W300" s="233">
        <f t="shared" si="4"/>
        <v>76009436.430030644</v>
      </c>
      <c r="X300" s="232">
        <v>1279</v>
      </c>
      <c r="Y300" s="232">
        <v>0</v>
      </c>
      <c r="Z300" s="234">
        <v>6.4000000000000001E-2</v>
      </c>
      <c r="AA300" s="232">
        <v>3633</v>
      </c>
      <c r="AB300" s="232">
        <v>96</v>
      </c>
      <c r="AC300" s="232">
        <v>6444929</v>
      </c>
      <c r="AD300" s="232">
        <v>0</v>
      </c>
      <c r="AE300" s="430">
        <v>1</v>
      </c>
    </row>
    <row r="301" spans="1:31" x14ac:dyDescent="0.25">
      <c r="A301" s="110">
        <v>5939</v>
      </c>
      <c r="B301" s="227" t="s">
        <v>392</v>
      </c>
      <c r="C301" s="369">
        <v>3536</v>
      </c>
      <c r="D301" s="372">
        <v>73</v>
      </c>
      <c r="E301" s="236">
        <v>1</v>
      </c>
      <c r="F301" s="231">
        <v>5396034.4400000004</v>
      </c>
      <c r="G301" s="232">
        <v>738592.4</v>
      </c>
      <c r="H301" s="232">
        <v>93794.6</v>
      </c>
      <c r="I301" s="232">
        <v>32324.7</v>
      </c>
      <c r="J301" s="232">
        <v>0</v>
      </c>
      <c r="K301" s="232">
        <v>11893.19</v>
      </c>
      <c r="L301" s="232">
        <v>-115121.56</v>
      </c>
      <c r="M301" s="232"/>
      <c r="N301" s="425">
        <f>Paramètres!$K$20/(Données!$H$302+Données!$I$302)*(Données!H301+Données!I301)</f>
        <v>11991.064636615949</v>
      </c>
      <c r="O301" s="232">
        <v>628496.4</v>
      </c>
      <c r="P301" s="232">
        <v>87978.48</v>
      </c>
      <c r="Q301" s="232">
        <v>58538.35</v>
      </c>
      <c r="R301" s="232">
        <v>-657.9</v>
      </c>
      <c r="S301" s="232">
        <v>224610.05</v>
      </c>
      <c r="T301" s="232">
        <v>612161.4</v>
      </c>
      <c r="U301" s="232">
        <v>272710.95</v>
      </c>
      <c r="V301" s="232">
        <v>260626.8</v>
      </c>
      <c r="W301" s="233">
        <f t="shared" si="4"/>
        <v>8313973.3646366177</v>
      </c>
      <c r="X301" s="232">
        <v>1294</v>
      </c>
      <c r="Y301" s="232">
        <v>0</v>
      </c>
      <c r="Z301" s="234">
        <v>0.13300000000000001</v>
      </c>
      <c r="AA301" s="232">
        <v>474</v>
      </c>
      <c r="AB301" s="232">
        <v>37</v>
      </c>
      <c r="AC301" s="232" t="s">
        <v>566</v>
      </c>
      <c r="AD301" s="232" t="s">
        <v>566</v>
      </c>
      <c r="AE301" s="430">
        <v>0</v>
      </c>
    </row>
    <row r="302" spans="1:31" x14ac:dyDescent="0.25">
      <c r="A302" s="493" t="s">
        <v>25</v>
      </c>
      <c r="B302" s="494"/>
      <c r="C302" s="255">
        <f>SUM(C8:C301)</f>
        <v>864226</v>
      </c>
      <c r="D302" s="255" t="s">
        <v>26</v>
      </c>
      <c r="E302" s="255" t="s">
        <v>26</v>
      </c>
      <c r="F302" s="259">
        <f t="shared" ref="F302:Y302" si="5">SUM(F8:F301)</f>
        <v>1818396738.3077941</v>
      </c>
      <c r="G302" s="259">
        <f t="shared" si="5"/>
        <v>366066026.23490566</v>
      </c>
      <c r="H302" s="259">
        <f t="shared" si="5"/>
        <v>391959776.80882406</v>
      </c>
      <c r="I302" s="259">
        <f t="shared" si="5"/>
        <v>34959768.681667551</v>
      </c>
      <c r="J302" s="259">
        <f t="shared" si="5"/>
        <v>43202435.524155848</v>
      </c>
      <c r="K302" s="259">
        <f t="shared" si="5"/>
        <v>8474998.4657737389</v>
      </c>
      <c r="L302" s="259">
        <f t="shared" si="5"/>
        <v>-34082967.823513672</v>
      </c>
      <c r="M302" s="259">
        <f t="shared" si="5"/>
        <v>0</v>
      </c>
      <c r="N302" s="259">
        <f t="shared" si="5"/>
        <v>40590297.160000011</v>
      </c>
      <c r="O302" s="259">
        <f t="shared" si="5"/>
        <v>251995764.26000011</v>
      </c>
      <c r="P302" s="259">
        <f t="shared" si="5"/>
        <v>82474339.519999996</v>
      </c>
      <c r="Q302" s="259">
        <f t="shared" si="5"/>
        <v>22404856.950000003</v>
      </c>
      <c r="R302" s="259">
        <f t="shared" si="5"/>
        <v>-20160323.930000007</v>
      </c>
      <c r="S302" s="259">
        <f t="shared" si="5"/>
        <v>118884569.04999998</v>
      </c>
      <c r="T302" s="259">
        <f t="shared" si="5"/>
        <v>73488826.500000015</v>
      </c>
      <c r="U302" s="259">
        <f t="shared" si="5"/>
        <v>87379673.850000054</v>
      </c>
      <c r="V302" s="259">
        <f t="shared" si="5"/>
        <v>103718603.65000001</v>
      </c>
      <c r="W302" s="259">
        <f t="shared" si="5"/>
        <v>3389753383.2096052</v>
      </c>
      <c r="X302" s="259">
        <f t="shared" si="5"/>
        <v>269771</v>
      </c>
      <c r="Y302" s="259">
        <f t="shared" si="5"/>
        <v>91542</v>
      </c>
      <c r="Z302" s="278" t="s">
        <v>26</v>
      </c>
      <c r="AA302" s="259">
        <f>SUM(AA8:AA301)</f>
        <v>95192</v>
      </c>
      <c r="AB302" s="259">
        <f>SUM(AB8:AB301)</f>
        <v>19300</v>
      </c>
      <c r="AC302" s="259">
        <f>SUM(AC8:AC301)</f>
        <v>166909162.92999998</v>
      </c>
      <c r="AD302" s="259">
        <f>SUM(AD8:AD301)</f>
        <v>-21205367.943140864</v>
      </c>
      <c r="AE302" s="293">
        <f>SUM(AE8:AE301)</f>
        <v>49.5</v>
      </c>
    </row>
  </sheetData>
  <mergeCells count="6">
    <mergeCell ref="G1:H1"/>
    <mergeCell ref="G2:H2"/>
    <mergeCell ref="A6:A7"/>
    <mergeCell ref="B6:B7"/>
    <mergeCell ref="A302:B302"/>
    <mergeCell ref="D1:E1"/>
  </mergeCells>
  <conditionalFormatting sqref="B8:B301">
    <cfRule type="expression" dxfId="49" priority="1">
      <formula>OR(B8="Gimel",B8="La Vallée de Joux",B8="Lucens",B8="Mathod-Suscévaz")</formula>
    </cfRule>
  </conditionalFormatting>
  <conditionalFormatting sqref="C8:M301">
    <cfRule type="expression" dxfId="48" priority="3">
      <formula>_xlfn.ISFORMULA(C8)</formula>
    </cfRule>
  </conditionalFormatting>
  <conditionalFormatting sqref="O8:V301">
    <cfRule type="expression" dxfId="47" priority="2">
      <formula>_xlfn.ISFORMULA(O8)</formula>
    </cfRule>
  </conditionalFormatting>
  <hyperlinks>
    <hyperlink ref="C1" location="Paramètres!A1" display="← Précédent" xr:uid="{8CB90A7A-16F3-4772-B584-7F62EE6AFB32}"/>
    <hyperlink ref="D1:E1" location="'Table des matières'!A1" display="Table des matières" xr:uid="{FC4F2057-2D77-41D6-A268-6D545B74DE23}"/>
    <hyperlink ref="F1" location="RFS!A1" display="Suivant →" xr:uid="{CA9BCCB3-793E-42E0-A99F-EA026E985258}"/>
  </hyperlinks>
  <pageMargins left="0.70866141732283472" right="0.70866141732283472" top="0.74803149606299213" bottom="0.74803149606299213" header="0.31496062992125984" footer="0.31496062992125984"/>
  <pageSetup paperSize="9" scale="34" fitToHeight="0" orientation="landscape" r:id="rId1"/>
  <ignoredErrors>
    <ignoredError sqref="X6"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C5057-9B7A-4893-95A8-03DA460FB186}">
  <sheetPr codeName="Feuil2">
    <tabColor theme="0" tint="-4.9989318521683403E-2"/>
    <pageSetUpPr fitToPage="1"/>
  </sheetPr>
  <dimension ref="A1:Z302"/>
  <sheetViews>
    <sheetView zoomScale="90" zoomScaleNormal="90" workbookViewId="0">
      <pane ySplit="7" topLeftCell="A8" activePane="bottomLeft" state="frozen"/>
      <selection pane="bottomLeft"/>
    </sheetView>
  </sheetViews>
  <sheetFormatPr baseColWidth="10" defaultRowHeight="15" x14ac:dyDescent="0.25"/>
  <cols>
    <col min="1" max="1" width="7.140625" style="1" customWidth="1"/>
    <col min="2" max="2" width="24.7109375" style="1" bestFit="1" customWidth="1"/>
    <col min="3" max="3" width="12.85546875" style="1" customWidth="1"/>
    <col min="4" max="4" width="7.28515625" style="1" bestFit="1" customWidth="1"/>
    <col min="5" max="5" width="7.42578125" style="1" bestFit="1" customWidth="1"/>
    <col min="6" max="6" width="15.7109375" style="1" customWidth="1"/>
    <col min="7" max="8" width="13.28515625" style="1" bestFit="1" customWidth="1"/>
    <col min="9" max="10" width="12.140625" style="1" bestFit="1" customWidth="1"/>
    <col min="11" max="11" width="17.85546875" style="1" customWidth="1"/>
    <col min="12" max="12" width="12.85546875" style="1" bestFit="1" customWidth="1"/>
    <col min="13" max="13" width="11.140625" style="1" customWidth="1"/>
    <col min="14" max="14" width="12.140625" style="1" bestFit="1" customWidth="1"/>
    <col min="15" max="15" width="13.28515625" style="1" bestFit="1" customWidth="1"/>
    <col min="16" max="17" width="12.140625" style="1" bestFit="1" customWidth="1"/>
    <col min="18" max="18" width="14.5703125" style="1" customWidth="1"/>
    <col min="19" max="19" width="2.85546875" style="1" customWidth="1"/>
    <col min="20" max="20" width="16" style="1" customWidth="1"/>
    <col min="21" max="21" width="13.42578125" style="1" bestFit="1" customWidth="1"/>
    <col min="22" max="22" width="12.140625" style="1" bestFit="1" customWidth="1"/>
    <col min="23" max="23" width="14.85546875" style="1" bestFit="1" customWidth="1"/>
    <col min="24" max="24" width="8.42578125" style="1" bestFit="1" customWidth="1"/>
    <col min="25" max="25" width="9.85546875" style="1" bestFit="1" customWidth="1"/>
    <col min="26" max="16384" width="11.42578125" style="1"/>
  </cols>
  <sheetData>
    <row r="1" spans="1:26" ht="26.25" x14ac:dyDescent="0.25">
      <c r="A1" s="8" t="s">
        <v>65</v>
      </c>
      <c r="F1" s="95" t="s">
        <v>441</v>
      </c>
      <c r="G1" s="97" t="s">
        <v>442</v>
      </c>
      <c r="H1" s="98" t="s">
        <v>443</v>
      </c>
      <c r="I1" s="77"/>
    </row>
    <row r="2" spans="1:26" ht="15" customHeight="1" x14ac:dyDescent="0.25">
      <c r="A2" s="47" t="str">
        <f>_xlfn.CONCAT(Paramètres!M5," ",Paramètres!N5)</f>
        <v>Décompte prévisionnel 2027</v>
      </c>
      <c r="E2" s="16"/>
      <c r="N2" s="57"/>
      <c r="R2" s="58"/>
      <c r="T2" s="496" t="s">
        <v>56</v>
      </c>
      <c r="U2" s="500" t="s">
        <v>19</v>
      </c>
      <c r="W2" s="57"/>
      <c r="X2" s="57"/>
      <c r="Y2" s="57"/>
      <c r="Z2" s="57"/>
    </row>
    <row r="3" spans="1:26" ht="15" customHeight="1" x14ac:dyDescent="0.25">
      <c r="N3" s="57"/>
      <c r="R3" s="58"/>
      <c r="T3" s="497"/>
      <c r="U3" s="501"/>
      <c r="W3" s="57"/>
      <c r="X3" s="57"/>
      <c r="Y3" s="57"/>
      <c r="Z3" s="57"/>
    </row>
    <row r="4" spans="1:26" ht="15" customHeight="1" x14ac:dyDescent="0.25">
      <c r="F4" s="262"/>
      <c r="G4" s="262"/>
      <c r="H4" s="262"/>
      <c r="I4" s="262"/>
      <c r="J4" s="262"/>
      <c r="K4" s="262"/>
      <c r="L4" s="262"/>
      <c r="M4" s="262"/>
      <c r="N4" s="17"/>
      <c r="R4" s="58"/>
      <c r="T4" s="79" cm="1">
        <f t="array" ref="T4">SUM(F302:N302)/(SUMPRODUCT(F8:F301/D8:D301)+SUMPRODUCT(G8:G301/D8:D301)+SUMPRODUCT(H8:H301/D8:D301)+SUMPRODUCT(I8:I301/D8:D301)+SUMPRODUCT(J8:J301/D8:D301)+SUMPRODUCT(K8:K301/D8:D301)+SUMPRODUCT(L8:L301/D8:D301)+SUMPRODUCT(M8:M301/D8:D301)+SUMPRODUCT(N8:N301/D8:D301))</f>
        <v>67.396151335096249</v>
      </c>
      <c r="U4" s="118">
        <f>Paramètres!C7</f>
        <v>1</v>
      </c>
    </row>
    <row r="5" spans="1:26" ht="15" customHeight="1" x14ac:dyDescent="0.25">
      <c r="A5" s="59"/>
      <c r="B5" s="59"/>
      <c r="C5" s="59"/>
      <c r="D5" s="59"/>
      <c r="E5" s="59"/>
      <c r="N5" s="17"/>
      <c r="R5" s="58"/>
    </row>
    <row r="6" spans="1:26" x14ac:dyDescent="0.25">
      <c r="A6" s="491" t="s">
        <v>0</v>
      </c>
      <c r="B6" s="491" t="s">
        <v>1</v>
      </c>
      <c r="C6" s="491" t="s">
        <v>29</v>
      </c>
      <c r="D6" s="496" t="s">
        <v>15</v>
      </c>
      <c r="E6" s="500" t="s">
        <v>9</v>
      </c>
      <c r="F6" s="496" t="s">
        <v>3</v>
      </c>
      <c r="G6" s="496" t="s">
        <v>4</v>
      </c>
      <c r="H6" s="496" t="s">
        <v>5</v>
      </c>
      <c r="I6" s="496" t="s">
        <v>6</v>
      </c>
      <c r="J6" s="496" t="s">
        <v>7</v>
      </c>
      <c r="K6" s="498" t="s">
        <v>593</v>
      </c>
      <c r="L6" s="496" t="s">
        <v>44</v>
      </c>
      <c r="M6" s="496" t="s">
        <v>575</v>
      </c>
      <c r="N6" s="496" t="s">
        <v>527</v>
      </c>
      <c r="O6" s="500" t="s">
        <v>9</v>
      </c>
      <c r="P6" s="508" t="s">
        <v>8</v>
      </c>
      <c r="Q6" s="508" t="s">
        <v>55</v>
      </c>
      <c r="R6" s="508" t="s">
        <v>439</v>
      </c>
      <c r="T6" s="496" t="s">
        <v>18</v>
      </c>
      <c r="U6" s="500" t="s">
        <v>17</v>
      </c>
      <c r="V6" s="508" t="s">
        <v>27</v>
      </c>
      <c r="W6" s="505" t="s">
        <v>57</v>
      </c>
      <c r="X6" s="506"/>
      <c r="Y6" s="507"/>
    </row>
    <row r="7" spans="1:26" ht="30" x14ac:dyDescent="0.25">
      <c r="A7" s="504"/>
      <c r="B7" s="504"/>
      <c r="C7" s="492"/>
      <c r="D7" s="497"/>
      <c r="E7" s="501"/>
      <c r="F7" s="497"/>
      <c r="G7" s="497"/>
      <c r="H7" s="497"/>
      <c r="I7" s="497"/>
      <c r="J7" s="497"/>
      <c r="K7" s="499"/>
      <c r="L7" s="497"/>
      <c r="M7" s="497"/>
      <c r="N7" s="497"/>
      <c r="O7" s="501"/>
      <c r="P7" s="509"/>
      <c r="Q7" s="509"/>
      <c r="R7" s="509"/>
      <c r="T7" s="497"/>
      <c r="U7" s="501"/>
      <c r="V7" s="509"/>
      <c r="W7" s="188" t="s">
        <v>21</v>
      </c>
      <c r="X7" s="188" t="s">
        <v>16</v>
      </c>
      <c r="Y7" s="188" t="s">
        <v>401</v>
      </c>
    </row>
    <row r="8" spans="1:26" x14ac:dyDescent="0.25">
      <c r="A8" s="107">
        <f>Données!A8</f>
        <v>5401</v>
      </c>
      <c r="B8" s="115" t="str">
        <f>Données!B8</f>
        <v>Aigle</v>
      </c>
      <c r="C8" s="237">
        <f>Données!C8</f>
        <v>12081</v>
      </c>
      <c r="D8" s="238">
        <f>Données!D8</f>
        <v>66</v>
      </c>
      <c r="E8" s="239">
        <f>Données!E8</f>
        <v>1.2</v>
      </c>
      <c r="F8" s="240">
        <f>Données!F8</f>
        <v>12555242.880000001</v>
      </c>
      <c r="G8" s="240">
        <f>Données!G8</f>
        <v>2054757.31</v>
      </c>
      <c r="H8" s="240">
        <f>Données!H8</f>
        <v>1229989.25</v>
      </c>
      <c r="I8" s="240">
        <f>Données!I8</f>
        <v>183487.05</v>
      </c>
      <c r="J8" s="240">
        <f>Données!J8</f>
        <v>14702.45</v>
      </c>
      <c r="K8" s="240">
        <f>Données!K8</f>
        <v>74292.78</v>
      </c>
      <c r="L8" s="240">
        <f>Données!L8</f>
        <v>-328207.07</v>
      </c>
      <c r="M8" s="240">
        <f>Données!M8</f>
        <v>0</v>
      </c>
      <c r="N8" s="240">
        <f>Données!N8</f>
        <v>134389.30976959717</v>
      </c>
      <c r="O8" s="240">
        <f>Données!O8</f>
        <v>2646492.75</v>
      </c>
      <c r="P8" s="240">
        <f>Données!P8</f>
        <v>856244.48</v>
      </c>
      <c r="Q8" s="240">
        <f>Données!Q8</f>
        <v>369224.6</v>
      </c>
      <c r="R8" s="240">
        <f>Données!R8</f>
        <v>-8553.65</v>
      </c>
      <c r="S8" s="241"/>
      <c r="T8" s="242">
        <f>(SUM(F8:N8)/D8*$T$4)</f>
        <v>16255394.110964559</v>
      </c>
      <c r="U8" s="243">
        <f t="shared" ref="U8:U69" si="0">O8/E8*$U$4</f>
        <v>2205410.625</v>
      </c>
      <c r="V8" s="243">
        <f t="shared" ref="V8:V69" si="1">SUM(P8:R8)</f>
        <v>1216915.4300000002</v>
      </c>
      <c r="W8" s="244">
        <f>SUM(T8:V8)</f>
        <v>19677720.165964559</v>
      </c>
      <c r="X8" s="242">
        <f>W8/C8</f>
        <v>1628.8155091436602</v>
      </c>
      <c r="Y8" s="245">
        <f t="shared" ref="Y8:Y71" si="2">X8/$X$302</f>
        <v>0.47509605295140245</v>
      </c>
    </row>
    <row r="9" spans="1:26" x14ac:dyDescent="0.25">
      <c r="A9" s="108">
        <f>Données!A9</f>
        <v>5402</v>
      </c>
      <c r="B9" s="116" t="str">
        <f>Données!B9</f>
        <v>Bex</v>
      </c>
      <c r="C9" s="246">
        <f>Données!C9</f>
        <v>8923</v>
      </c>
      <c r="D9" s="247">
        <f>Données!D9</f>
        <v>71</v>
      </c>
      <c r="E9" s="248">
        <f>Données!E9</f>
        <v>1.25</v>
      </c>
      <c r="F9" s="249">
        <f>Données!F9</f>
        <v>10464849.85</v>
      </c>
      <c r="G9" s="249">
        <f>Données!G9</f>
        <v>1498217.96</v>
      </c>
      <c r="H9" s="249">
        <f>Données!H9</f>
        <v>602967.65</v>
      </c>
      <c r="I9" s="249">
        <f>Données!I9</f>
        <v>-473.100000000009</v>
      </c>
      <c r="J9" s="249">
        <f>Données!J9</f>
        <v>-58991.5</v>
      </c>
      <c r="K9" s="249">
        <f>Données!K9</f>
        <v>50519.49</v>
      </c>
      <c r="L9" s="249">
        <f>Données!L9</f>
        <v>-367349.79</v>
      </c>
      <c r="M9" s="249">
        <f>Données!M9</f>
        <v>0</v>
      </c>
      <c r="N9" s="249">
        <f>Données!N9</f>
        <v>57283.46963754826</v>
      </c>
      <c r="O9" s="249">
        <f>Données!O9</f>
        <v>1971828.15</v>
      </c>
      <c r="P9" s="249">
        <f>Données!P9</f>
        <v>544387.68000000005</v>
      </c>
      <c r="Q9" s="249">
        <f>Données!Q9</f>
        <v>87719.3</v>
      </c>
      <c r="R9" s="249">
        <f>Données!R9</f>
        <v>-2839.56</v>
      </c>
      <c r="S9" s="241"/>
      <c r="T9" s="233">
        <f t="shared" ref="T9:T69" si="3">(SUM(F9:N9)/D9*$T$4)</f>
        <v>11625384.294450881</v>
      </c>
      <c r="U9" s="250">
        <f t="shared" si="0"/>
        <v>1577462.52</v>
      </c>
      <c r="V9" s="250">
        <f t="shared" si="1"/>
        <v>629267.42000000004</v>
      </c>
      <c r="W9" s="251">
        <f t="shared" ref="W9:W69" si="4">SUM(T9:V9)</f>
        <v>13832114.23445088</v>
      </c>
      <c r="X9" s="233">
        <f t="shared" ref="X9:X69" si="5">W9/C9</f>
        <v>1550.1640966548111</v>
      </c>
      <c r="Y9" s="252">
        <f t="shared" si="2"/>
        <v>0.45215485708069869</v>
      </c>
    </row>
    <row r="10" spans="1:26" x14ac:dyDescent="0.25">
      <c r="A10" s="108">
        <f>Données!A10</f>
        <v>5403</v>
      </c>
      <c r="B10" s="116" t="str">
        <f>Données!B10</f>
        <v>Chessel</v>
      </c>
      <c r="C10" s="246">
        <f>Données!C10</f>
        <v>525</v>
      </c>
      <c r="D10" s="247">
        <f>Données!D10</f>
        <v>65</v>
      </c>
      <c r="E10" s="248">
        <f>Données!E10</f>
        <v>1</v>
      </c>
      <c r="F10" s="249">
        <f>Données!F10</f>
        <v>681828.46</v>
      </c>
      <c r="G10" s="249">
        <f>Données!G10</f>
        <v>83395.570000000007</v>
      </c>
      <c r="H10" s="249">
        <f>Données!H10</f>
        <v>33456.15</v>
      </c>
      <c r="I10" s="249">
        <f>Données!I10</f>
        <v>55.05</v>
      </c>
      <c r="J10" s="249">
        <f>Données!J10</f>
        <v>0</v>
      </c>
      <c r="K10" s="249">
        <f>Données!K10</f>
        <v>0</v>
      </c>
      <c r="L10" s="249">
        <f>Données!L10</f>
        <v>-9544.51</v>
      </c>
      <c r="M10" s="249">
        <f>Données!M10</f>
        <v>0</v>
      </c>
      <c r="N10" s="249">
        <f>Données!N10</f>
        <v>3186.1496634580467</v>
      </c>
      <c r="O10" s="249">
        <f>Données!O10</f>
        <v>89950.3</v>
      </c>
      <c r="P10" s="249">
        <f>Données!P10</f>
        <v>45843.56</v>
      </c>
      <c r="Q10" s="249">
        <f>Données!Q10</f>
        <v>7435.1</v>
      </c>
      <c r="R10" s="249">
        <f>Données!R10</f>
        <v>-113.4</v>
      </c>
      <c r="S10" s="241"/>
      <c r="T10" s="233">
        <f t="shared" si="3"/>
        <v>821586.94495797309</v>
      </c>
      <c r="U10" s="250">
        <f t="shared" si="0"/>
        <v>89950.3</v>
      </c>
      <c r="V10" s="250">
        <f t="shared" si="1"/>
        <v>53165.259999999995</v>
      </c>
      <c r="W10" s="251">
        <f t="shared" si="4"/>
        <v>964702.50495797314</v>
      </c>
      <c r="X10" s="233">
        <f t="shared" si="5"/>
        <v>1837.5285808723297</v>
      </c>
      <c r="Y10" s="252">
        <f t="shared" si="2"/>
        <v>0.53597388473837138</v>
      </c>
    </row>
    <row r="11" spans="1:26" x14ac:dyDescent="0.25">
      <c r="A11" s="108">
        <f>Données!A11</f>
        <v>5404</v>
      </c>
      <c r="B11" s="116" t="str">
        <f>Données!B11</f>
        <v>Corbeyrier</v>
      </c>
      <c r="C11" s="246">
        <f>Données!C11</f>
        <v>456</v>
      </c>
      <c r="D11" s="247">
        <f>Données!D11</f>
        <v>74</v>
      </c>
      <c r="E11" s="248">
        <f>Données!E11</f>
        <v>1.5</v>
      </c>
      <c r="F11" s="249">
        <f>Données!F11</f>
        <v>643796.19999999995</v>
      </c>
      <c r="G11" s="249">
        <f>Données!G11</f>
        <v>142119.66</v>
      </c>
      <c r="H11" s="249">
        <f>Données!H11</f>
        <v>6333.45</v>
      </c>
      <c r="I11" s="249">
        <f>Données!I11</f>
        <v>6593.45</v>
      </c>
      <c r="J11" s="249">
        <f>Données!J11</f>
        <v>0</v>
      </c>
      <c r="K11" s="249">
        <f>Données!K11</f>
        <v>0</v>
      </c>
      <c r="L11" s="249">
        <f>Données!L11</f>
        <v>-4930.7700000000004</v>
      </c>
      <c r="M11" s="249">
        <f>Données!M11</f>
        <v>0</v>
      </c>
      <c r="N11" s="249">
        <f>Données!N11</f>
        <v>1229.0529161759596</v>
      </c>
      <c r="O11" s="249">
        <f>Données!O11</f>
        <v>144544.4</v>
      </c>
      <c r="P11" s="249">
        <f>Données!P11</f>
        <v>3291.48</v>
      </c>
      <c r="Q11" s="249">
        <f>Données!Q11</f>
        <v>2184.0500000000002</v>
      </c>
      <c r="R11" s="249">
        <f>Données!R11</f>
        <v>-1343.64</v>
      </c>
      <c r="S11" s="241"/>
      <c r="T11" s="233">
        <f t="shared" si="3"/>
        <v>724181.70352871413</v>
      </c>
      <c r="U11" s="250">
        <f t="shared" si="0"/>
        <v>96362.933333333334</v>
      </c>
      <c r="V11" s="250">
        <f t="shared" si="1"/>
        <v>4131.8900000000003</v>
      </c>
      <c r="W11" s="251">
        <f t="shared" si="4"/>
        <v>824676.5268620475</v>
      </c>
      <c r="X11" s="233">
        <f t="shared" si="5"/>
        <v>1808.5011553992269</v>
      </c>
      <c r="Y11" s="252">
        <f t="shared" si="2"/>
        <v>0.52750710922438904</v>
      </c>
    </row>
    <row r="12" spans="1:26" x14ac:dyDescent="0.25">
      <c r="A12" s="108">
        <f>Données!A12</f>
        <v>5405</v>
      </c>
      <c r="B12" s="116" t="str">
        <f>Données!B12</f>
        <v>Gryon</v>
      </c>
      <c r="C12" s="246">
        <f>Données!C12</f>
        <v>1546</v>
      </c>
      <c r="D12" s="247">
        <f>Données!D12</f>
        <v>73.5</v>
      </c>
      <c r="E12" s="248">
        <f>Données!E12</f>
        <v>1.5</v>
      </c>
      <c r="F12" s="249">
        <f>Données!F12</f>
        <v>3399046.61</v>
      </c>
      <c r="G12" s="249">
        <f>Données!G12</f>
        <v>1465524.89</v>
      </c>
      <c r="H12" s="249">
        <f>Données!H12</f>
        <v>27821.4</v>
      </c>
      <c r="I12" s="249">
        <f>Données!I12</f>
        <v>9735.5499999999993</v>
      </c>
      <c r="J12" s="249">
        <f>Données!J12</f>
        <v>243608.55</v>
      </c>
      <c r="K12" s="249">
        <f>Données!K12</f>
        <v>13254.41</v>
      </c>
      <c r="L12" s="249">
        <f>Données!L12</f>
        <v>-59914.05</v>
      </c>
      <c r="M12" s="249">
        <f>Données!M12</f>
        <v>0</v>
      </c>
      <c r="N12" s="249">
        <f>Données!N12</f>
        <v>3570.8080761957394</v>
      </c>
      <c r="O12" s="249">
        <f>Données!O12</f>
        <v>1321791.8</v>
      </c>
      <c r="P12" s="249">
        <f>Données!P12</f>
        <v>154430.53</v>
      </c>
      <c r="Q12" s="249">
        <f>Données!Q12</f>
        <v>16160.75</v>
      </c>
      <c r="R12" s="249">
        <f>Données!R12</f>
        <v>-5488.65</v>
      </c>
      <c r="S12" s="241"/>
      <c r="T12" s="233">
        <f t="shared" si="3"/>
        <v>4678895.8931348966</v>
      </c>
      <c r="U12" s="250">
        <f t="shared" si="0"/>
        <v>881194.53333333333</v>
      </c>
      <c r="V12" s="250">
        <f t="shared" si="1"/>
        <v>165102.63</v>
      </c>
      <c r="W12" s="251">
        <f t="shared" si="4"/>
        <v>5725193.0564682297</v>
      </c>
      <c r="X12" s="233">
        <f t="shared" si="5"/>
        <v>3703.2296613636672</v>
      </c>
      <c r="Y12" s="252">
        <f t="shared" si="2"/>
        <v>1.0801651785667399</v>
      </c>
    </row>
    <row r="13" spans="1:26" x14ac:dyDescent="0.25">
      <c r="A13" s="108">
        <f>Données!A13</f>
        <v>5406</v>
      </c>
      <c r="B13" s="116" t="str">
        <f>Données!B13</f>
        <v>Lavey-Morcles</v>
      </c>
      <c r="C13" s="246">
        <f>Données!C13</f>
        <v>1024</v>
      </c>
      <c r="D13" s="247">
        <f>Données!D13</f>
        <v>71.5</v>
      </c>
      <c r="E13" s="248">
        <f>Données!E13</f>
        <v>1.3</v>
      </c>
      <c r="F13" s="249">
        <f>Données!F13</f>
        <v>1136193.1200000001</v>
      </c>
      <c r="G13" s="249">
        <f>Données!G13</f>
        <v>169088.31</v>
      </c>
      <c r="H13" s="249">
        <f>Données!H13</f>
        <v>164909.70000000001</v>
      </c>
      <c r="I13" s="249">
        <f>Données!I13</f>
        <v>5161.2</v>
      </c>
      <c r="J13" s="249">
        <f>Données!J13</f>
        <v>0</v>
      </c>
      <c r="K13" s="249">
        <f>Données!K13</f>
        <v>342.31</v>
      </c>
      <c r="L13" s="249">
        <f>Données!L13</f>
        <v>-27177.48</v>
      </c>
      <c r="M13" s="249">
        <f>Données!M13</f>
        <v>0</v>
      </c>
      <c r="N13" s="249">
        <f>Données!N13</f>
        <v>16169.85786241636</v>
      </c>
      <c r="O13" s="249">
        <f>Données!O13</f>
        <v>212922.2</v>
      </c>
      <c r="P13" s="249">
        <f>Données!P13</f>
        <v>50487.519999999997</v>
      </c>
      <c r="Q13" s="249">
        <f>Données!Q13</f>
        <v>10439.5</v>
      </c>
      <c r="R13" s="249">
        <f>Données!R13</f>
        <v>-195.1</v>
      </c>
      <c r="S13" s="241"/>
      <c r="T13" s="233">
        <f t="shared" si="3"/>
        <v>1380619.1316700175</v>
      </c>
      <c r="U13" s="250">
        <f t="shared" si="0"/>
        <v>163786.30769230769</v>
      </c>
      <c r="V13" s="250">
        <f t="shared" si="1"/>
        <v>60731.92</v>
      </c>
      <c r="W13" s="251">
        <f t="shared" si="4"/>
        <v>1605137.3593623252</v>
      </c>
      <c r="X13" s="233">
        <f t="shared" si="5"/>
        <v>1567.5169525022707</v>
      </c>
      <c r="Y13" s="252">
        <f t="shared" si="2"/>
        <v>0.4572163715826677</v>
      </c>
    </row>
    <row r="14" spans="1:26" x14ac:dyDescent="0.25">
      <c r="A14" s="108">
        <f>Données!A14</f>
        <v>5407</v>
      </c>
      <c r="B14" s="116" t="str">
        <f>Données!B14</f>
        <v>Leysin</v>
      </c>
      <c r="C14" s="246">
        <f>Données!C14</f>
        <v>3722</v>
      </c>
      <c r="D14" s="247">
        <f>Données!D14</f>
        <v>78</v>
      </c>
      <c r="E14" s="248">
        <f>Données!E14</f>
        <v>1.5</v>
      </c>
      <c r="F14" s="249">
        <f>Données!F14</f>
        <v>4278908.8899999997</v>
      </c>
      <c r="G14" s="249">
        <f>Données!G14</f>
        <v>1213553.52</v>
      </c>
      <c r="H14" s="249">
        <f>Données!H14</f>
        <v>365685.5</v>
      </c>
      <c r="I14" s="249">
        <f>Données!I14</f>
        <v>176935.65</v>
      </c>
      <c r="J14" s="249">
        <f>Données!J14</f>
        <v>94610</v>
      </c>
      <c r="K14" s="249">
        <f>Données!K14</f>
        <v>8491.07</v>
      </c>
      <c r="L14" s="249">
        <f>Données!L14</f>
        <v>-225898.3</v>
      </c>
      <c r="M14" s="249">
        <f>Données!M14</f>
        <v>0</v>
      </c>
      <c r="N14" s="249">
        <f>Données!N14</f>
        <v>51590.876914515691</v>
      </c>
      <c r="O14" s="249">
        <f>Données!O14</f>
        <v>1377379.4</v>
      </c>
      <c r="P14" s="249">
        <f>Données!P14</f>
        <v>555616.64</v>
      </c>
      <c r="Q14" s="249">
        <f>Données!Q14</f>
        <v>61904.9</v>
      </c>
      <c r="R14" s="249">
        <f>Données!R14</f>
        <v>-9568.7999999999993</v>
      </c>
      <c r="S14" s="241"/>
      <c r="T14" s="233">
        <f t="shared" si="3"/>
        <v>5153107.3177069472</v>
      </c>
      <c r="U14" s="250">
        <f t="shared" si="0"/>
        <v>918252.93333333323</v>
      </c>
      <c r="V14" s="250">
        <f t="shared" si="1"/>
        <v>607952.74</v>
      </c>
      <c r="W14" s="251">
        <f t="shared" si="4"/>
        <v>6679312.991040281</v>
      </c>
      <c r="X14" s="233">
        <f t="shared" si="5"/>
        <v>1794.5494333799788</v>
      </c>
      <c r="Y14" s="252">
        <f t="shared" si="2"/>
        <v>0.52343764400502557</v>
      </c>
    </row>
    <row r="15" spans="1:26" x14ac:dyDescent="0.25">
      <c r="A15" s="108">
        <f>Données!A15</f>
        <v>5408</v>
      </c>
      <c r="B15" s="116" t="str">
        <f>Données!B15</f>
        <v>Noville</v>
      </c>
      <c r="C15" s="246">
        <f>Données!C15</f>
        <v>1214</v>
      </c>
      <c r="D15" s="247">
        <f>Données!D15</f>
        <v>75</v>
      </c>
      <c r="E15" s="248">
        <f>Données!E15</f>
        <v>1.5</v>
      </c>
      <c r="F15" s="249">
        <f>Données!F15</f>
        <v>2317310.94</v>
      </c>
      <c r="G15" s="249">
        <f>Données!G15</f>
        <v>424828.42</v>
      </c>
      <c r="H15" s="249">
        <f>Données!H15</f>
        <v>229750.25</v>
      </c>
      <c r="I15" s="249">
        <f>Données!I15</f>
        <v>8151.3</v>
      </c>
      <c r="J15" s="249">
        <f>Données!J15</f>
        <v>0</v>
      </c>
      <c r="K15" s="249">
        <f>Données!K15</f>
        <v>1008.32</v>
      </c>
      <c r="L15" s="249">
        <f>Données!L15</f>
        <v>-39308.31</v>
      </c>
      <c r="M15" s="249">
        <f>Données!M15</f>
        <v>0</v>
      </c>
      <c r="N15" s="249">
        <f>Données!N15</f>
        <v>22619.003302437621</v>
      </c>
      <c r="O15" s="249">
        <f>Données!O15</f>
        <v>554869.15</v>
      </c>
      <c r="P15" s="249">
        <f>Données!P15</f>
        <v>67119.929999999993</v>
      </c>
      <c r="Q15" s="249">
        <f>Données!Q15</f>
        <v>26199.45</v>
      </c>
      <c r="R15" s="249">
        <f>Données!R15</f>
        <v>-2117.25</v>
      </c>
      <c r="S15" s="241"/>
      <c r="T15" s="233">
        <f t="shared" si="3"/>
        <v>2663819.3333678045</v>
      </c>
      <c r="U15" s="250">
        <f t="shared" si="0"/>
        <v>369912.76666666666</v>
      </c>
      <c r="V15" s="250">
        <f t="shared" si="1"/>
        <v>91202.12999999999</v>
      </c>
      <c r="W15" s="251">
        <f t="shared" si="4"/>
        <v>3124934.230034471</v>
      </c>
      <c r="X15" s="233">
        <f t="shared" si="5"/>
        <v>2574.0809143611787</v>
      </c>
      <c r="Y15" s="252">
        <f t="shared" si="2"/>
        <v>0.75081289165369258</v>
      </c>
    </row>
    <row r="16" spans="1:26" x14ac:dyDescent="0.25">
      <c r="A16" s="108">
        <f>Données!A16</f>
        <v>5409</v>
      </c>
      <c r="B16" s="116" t="str">
        <f>Données!B16</f>
        <v>Ollon</v>
      </c>
      <c r="C16" s="246">
        <f>Données!C16</f>
        <v>8302</v>
      </c>
      <c r="D16" s="247">
        <f>Données!D16</f>
        <v>68</v>
      </c>
      <c r="E16" s="248">
        <f>Données!E16</f>
        <v>1.3</v>
      </c>
      <c r="F16" s="249">
        <f>Données!F16</f>
        <v>14696302.630000001</v>
      </c>
      <c r="G16" s="249">
        <f>Données!G16</f>
        <v>6107223.0700000003</v>
      </c>
      <c r="H16" s="249">
        <f>Données!H16</f>
        <v>867335.45</v>
      </c>
      <c r="I16" s="249">
        <f>Données!I16</f>
        <v>116886.9</v>
      </c>
      <c r="J16" s="249">
        <f>Données!J16</f>
        <v>2480688.0699999998</v>
      </c>
      <c r="K16" s="249">
        <f>Données!K16</f>
        <v>34653.22</v>
      </c>
      <c r="L16" s="249">
        <f>Données!L16</f>
        <v>-301071.83</v>
      </c>
      <c r="M16" s="249">
        <f>Données!M16</f>
        <v>0</v>
      </c>
      <c r="N16" s="249">
        <f>Données!N16</f>
        <v>93577.064062772668</v>
      </c>
      <c r="O16" s="249">
        <f>Données!O16</f>
        <v>4533459.7</v>
      </c>
      <c r="P16" s="249">
        <f>Données!P16</f>
        <v>1005296.36</v>
      </c>
      <c r="Q16" s="249">
        <f>Données!Q16</f>
        <v>149199.20000000001</v>
      </c>
      <c r="R16" s="249">
        <f>Données!R16</f>
        <v>-141204.15</v>
      </c>
      <c r="S16" s="241"/>
      <c r="T16" s="233">
        <f t="shared" si="3"/>
        <v>23881622.623862628</v>
      </c>
      <c r="U16" s="250">
        <f t="shared" si="0"/>
        <v>3487276.6923076925</v>
      </c>
      <c r="V16" s="250">
        <f t="shared" si="1"/>
        <v>1013291.41</v>
      </c>
      <c r="W16" s="251">
        <f t="shared" si="4"/>
        <v>28382190.72617032</v>
      </c>
      <c r="X16" s="233">
        <f t="shared" si="5"/>
        <v>3418.7172640532785</v>
      </c>
      <c r="Y16" s="252">
        <f t="shared" si="2"/>
        <v>0.99717805312552155</v>
      </c>
    </row>
    <row r="17" spans="1:25" x14ac:dyDescent="0.25">
      <c r="A17" s="108">
        <f>Données!A17</f>
        <v>5410</v>
      </c>
      <c r="B17" s="116" t="str">
        <f>Données!B17</f>
        <v>Ormont-Dessous</v>
      </c>
      <c r="C17" s="246">
        <f>Données!C17</f>
        <v>1261</v>
      </c>
      <c r="D17" s="247">
        <f>Données!D17</f>
        <v>77</v>
      </c>
      <c r="E17" s="248">
        <f>Données!E17</f>
        <v>1.5</v>
      </c>
      <c r="F17" s="249">
        <f>Données!F17</f>
        <v>1951072.39</v>
      </c>
      <c r="G17" s="249">
        <f>Données!G17</f>
        <v>595218.12</v>
      </c>
      <c r="H17" s="249">
        <f>Données!H17</f>
        <v>59418.15</v>
      </c>
      <c r="I17" s="249">
        <f>Données!I17</f>
        <v>-341.35</v>
      </c>
      <c r="J17" s="249">
        <f>Données!J17</f>
        <v>0</v>
      </c>
      <c r="K17" s="249">
        <f>Données!K17</f>
        <v>6993.43</v>
      </c>
      <c r="L17" s="249">
        <f>Données!L17</f>
        <v>-35653</v>
      </c>
      <c r="M17" s="249">
        <f>Données!M17</f>
        <v>0</v>
      </c>
      <c r="N17" s="249">
        <f>Données!N17</f>
        <v>5616.8542588202845</v>
      </c>
      <c r="O17" s="249">
        <f>Données!O17</f>
        <v>627673.25</v>
      </c>
      <c r="P17" s="249">
        <f>Données!P17</f>
        <v>101671.24</v>
      </c>
      <c r="Q17" s="249">
        <f>Données!Q17</f>
        <v>7312.5</v>
      </c>
      <c r="R17" s="249">
        <f>Données!R17</f>
        <v>-235.75</v>
      </c>
      <c r="S17" s="241"/>
      <c r="T17" s="233">
        <f t="shared" si="3"/>
        <v>2260243.3655975121</v>
      </c>
      <c r="U17" s="250">
        <f t="shared" si="0"/>
        <v>418448.83333333331</v>
      </c>
      <c r="V17" s="250">
        <f t="shared" si="1"/>
        <v>108747.99</v>
      </c>
      <c r="W17" s="251">
        <f t="shared" si="4"/>
        <v>2787440.1889308458</v>
      </c>
      <c r="X17" s="233">
        <f t="shared" si="5"/>
        <v>2210.4997533155001</v>
      </c>
      <c r="Y17" s="252">
        <f t="shared" si="2"/>
        <v>0.64476283652430288</v>
      </c>
    </row>
    <row r="18" spans="1:25" x14ac:dyDescent="0.25">
      <c r="A18" s="108">
        <f>Données!A18</f>
        <v>5411</v>
      </c>
      <c r="B18" s="116" t="str">
        <f>Données!B18</f>
        <v>Ormont-Dessus</v>
      </c>
      <c r="C18" s="246">
        <f>Données!C18</f>
        <v>1440</v>
      </c>
      <c r="D18" s="247">
        <f>Données!D18</f>
        <v>76</v>
      </c>
      <c r="E18" s="248">
        <f>Données!E18</f>
        <v>1.5</v>
      </c>
      <c r="F18" s="249">
        <f>Données!F18</f>
        <v>3366724.59</v>
      </c>
      <c r="G18" s="249">
        <f>Données!G18</f>
        <v>1533080.35</v>
      </c>
      <c r="H18" s="249">
        <f>Données!H18</f>
        <v>130986.45</v>
      </c>
      <c r="I18" s="249">
        <f>Données!I18</f>
        <v>3210.05</v>
      </c>
      <c r="J18" s="249">
        <f>Données!J18</f>
        <v>189753.65</v>
      </c>
      <c r="K18" s="249">
        <f>Données!K18</f>
        <v>6858.44</v>
      </c>
      <c r="L18" s="249">
        <f>Données!L18</f>
        <v>-29973.33</v>
      </c>
      <c r="M18" s="249">
        <f>Données!M18</f>
        <v>0</v>
      </c>
      <c r="N18" s="249">
        <f>Données!N18</f>
        <v>12759.021858729253</v>
      </c>
      <c r="O18" s="249">
        <f>Données!O18</f>
        <v>1360672.1</v>
      </c>
      <c r="P18" s="249">
        <f>Données!P18</f>
        <v>215675.35</v>
      </c>
      <c r="Q18" s="249">
        <f>Données!Q18</f>
        <v>5673.95</v>
      </c>
      <c r="R18" s="249">
        <f>Données!R18</f>
        <v>-3325.68</v>
      </c>
      <c r="S18" s="241"/>
      <c r="T18" s="233">
        <f t="shared" si="3"/>
        <v>4623197.9332455778</v>
      </c>
      <c r="U18" s="250">
        <f t="shared" si="0"/>
        <v>907114.7333333334</v>
      </c>
      <c r="V18" s="250">
        <f t="shared" si="1"/>
        <v>218023.62000000002</v>
      </c>
      <c r="W18" s="251">
        <f t="shared" si="4"/>
        <v>5748336.2865789114</v>
      </c>
      <c r="X18" s="233">
        <f t="shared" si="5"/>
        <v>3991.9001990131328</v>
      </c>
      <c r="Y18" s="252">
        <f t="shared" si="2"/>
        <v>1.1643651584114334</v>
      </c>
    </row>
    <row r="19" spans="1:25" x14ac:dyDescent="0.25">
      <c r="A19" s="108">
        <f>Données!A19</f>
        <v>5412</v>
      </c>
      <c r="B19" s="116" t="str">
        <f>Données!B19</f>
        <v>Rennaz</v>
      </c>
      <c r="C19" s="246">
        <f>Données!C19</f>
        <v>935</v>
      </c>
      <c r="D19" s="247">
        <f>Données!D19</f>
        <v>66</v>
      </c>
      <c r="E19" s="248">
        <f>Données!E19</f>
        <v>1</v>
      </c>
      <c r="F19" s="249">
        <f>Données!F19</f>
        <v>1177162.95</v>
      </c>
      <c r="G19" s="249">
        <f>Données!G19</f>
        <v>123561.76</v>
      </c>
      <c r="H19" s="249">
        <f>Données!H19</f>
        <v>217977.65</v>
      </c>
      <c r="I19" s="249">
        <f>Données!I19</f>
        <v>-30164.35</v>
      </c>
      <c r="J19" s="249">
        <f>Données!J19</f>
        <v>0</v>
      </c>
      <c r="K19" s="249">
        <f>Données!K19</f>
        <v>557.74</v>
      </c>
      <c r="L19" s="249">
        <f>Données!L19</f>
        <v>-24612.65</v>
      </c>
      <c r="M19" s="249">
        <f>Données!M19</f>
        <v>0</v>
      </c>
      <c r="N19" s="249">
        <f>Données!N19</f>
        <v>17856.754833844956</v>
      </c>
      <c r="O19" s="249">
        <f>Données!O19</f>
        <v>287458.2</v>
      </c>
      <c r="P19" s="249">
        <f>Données!P19</f>
        <v>89494.95</v>
      </c>
      <c r="Q19" s="249">
        <f>Données!Q19</f>
        <v>71988.3</v>
      </c>
      <c r="R19" s="249">
        <f>Données!R19</f>
        <v>-343.35</v>
      </c>
      <c r="S19" s="241"/>
      <c r="T19" s="233">
        <f t="shared" si="3"/>
        <v>1513696.9876731276</v>
      </c>
      <c r="U19" s="250">
        <f t="shared" si="0"/>
        <v>287458.2</v>
      </c>
      <c r="V19" s="250">
        <f t="shared" si="1"/>
        <v>161139.9</v>
      </c>
      <c r="W19" s="251">
        <f t="shared" si="4"/>
        <v>1962295.0876731274</v>
      </c>
      <c r="X19" s="233">
        <f t="shared" si="5"/>
        <v>2098.711323714575</v>
      </c>
      <c r="Y19" s="252">
        <f t="shared" si="2"/>
        <v>0.61215617151473545</v>
      </c>
    </row>
    <row r="20" spans="1:25" x14ac:dyDescent="0.25">
      <c r="A20" s="108">
        <f>Données!A20</f>
        <v>5413</v>
      </c>
      <c r="B20" s="116" t="str">
        <f>Données!B20</f>
        <v>Roche</v>
      </c>
      <c r="C20" s="246">
        <f>Données!C20</f>
        <v>2035</v>
      </c>
      <c r="D20" s="247">
        <f>Données!D20</f>
        <v>66.5</v>
      </c>
      <c r="E20" s="248">
        <f>Données!E20</f>
        <v>1.2</v>
      </c>
      <c r="F20" s="249">
        <f>Données!F20</f>
        <v>2068808.51</v>
      </c>
      <c r="G20" s="249">
        <f>Données!G20</f>
        <v>285665.84999999998</v>
      </c>
      <c r="H20" s="249">
        <f>Données!H20</f>
        <v>229700.65</v>
      </c>
      <c r="I20" s="249">
        <f>Données!I20</f>
        <v>3524.9</v>
      </c>
      <c r="J20" s="249">
        <f>Données!J20</f>
        <v>0</v>
      </c>
      <c r="K20" s="249">
        <f>Données!K20</f>
        <v>7340.8</v>
      </c>
      <c r="L20" s="249">
        <f>Données!L20</f>
        <v>-60955.59</v>
      </c>
      <c r="M20" s="249">
        <f>Données!M20</f>
        <v>0</v>
      </c>
      <c r="N20" s="249">
        <f>Données!N20</f>
        <v>22174.42251075216</v>
      </c>
      <c r="O20" s="249">
        <f>Données!O20</f>
        <v>412537.05</v>
      </c>
      <c r="P20" s="249">
        <f>Données!P20</f>
        <v>114815.75</v>
      </c>
      <c r="Q20" s="249">
        <f>Données!Q20</f>
        <v>41990.15</v>
      </c>
      <c r="R20" s="249">
        <f>Données!R20</f>
        <v>-199.15</v>
      </c>
      <c r="S20" s="241"/>
      <c r="T20" s="233">
        <f t="shared" si="3"/>
        <v>2590707.5936667444</v>
      </c>
      <c r="U20" s="250">
        <f t="shared" si="0"/>
        <v>343780.875</v>
      </c>
      <c r="V20" s="250">
        <f t="shared" si="1"/>
        <v>156606.75</v>
      </c>
      <c r="W20" s="251">
        <f t="shared" si="4"/>
        <v>3091095.2186667444</v>
      </c>
      <c r="X20" s="233">
        <f t="shared" si="5"/>
        <v>1518.9657094185477</v>
      </c>
      <c r="Y20" s="252">
        <f t="shared" si="2"/>
        <v>0.44305485124750832</v>
      </c>
    </row>
    <row r="21" spans="1:25" x14ac:dyDescent="0.25">
      <c r="A21" s="108">
        <f>Données!A21</f>
        <v>5414</v>
      </c>
      <c r="B21" s="116" t="str">
        <f>Données!B21</f>
        <v>Villeneuve</v>
      </c>
      <c r="C21" s="246">
        <f>Données!C21</f>
        <v>6073</v>
      </c>
      <c r="D21" s="247">
        <f>Données!D21</f>
        <v>66.5</v>
      </c>
      <c r="E21" s="248">
        <f>Données!E21</f>
        <v>1</v>
      </c>
      <c r="F21" s="249">
        <f>Données!F21</f>
        <v>7389683.7800000003</v>
      </c>
      <c r="G21" s="249">
        <f>Données!G21</f>
        <v>1187210.04</v>
      </c>
      <c r="H21" s="249">
        <f>Données!H21</f>
        <v>674454.85</v>
      </c>
      <c r="I21" s="249">
        <f>Données!I21</f>
        <v>220010.8</v>
      </c>
      <c r="J21" s="249">
        <f>Données!J21</f>
        <v>76837.55</v>
      </c>
      <c r="K21" s="249">
        <f>Données!K21</f>
        <v>16402.150000000001</v>
      </c>
      <c r="L21" s="249">
        <f>Données!L21</f>
        <v>-229345.32</v>
      </c>
      <c r="M21" s="249">
        <f>Données!M21</f>
        <v>0</v>
      </c>
      <c r="N21" s="249">
        <f>Données!N21</f>
        <v>85043.252098471028</v>
      </c>
      <c r="O21" s="249">
        <f>Données!O21</f>
        <v>1368786.8</v>
      </c>
      <c r="P21" s="249">
        <f>Données!P21</f>
        <v>425881.78</v>
      </c>
      <c r="Q21" s="249">
        <f>Données!Q21</f>
        <v>157068</v>
      </c>
      <c r="R21" s="249">
        <f>Données!R21</f>
        <v>-4256.3500000000004</v>
      </c>
      <c r="S21" s="241"/>
      <c r="T21" s="233">
        <f t="shared" si="3"/>
        <v>9547244.6483398098</v>
      </c>
      <c r="U21" s="250">
        <f t="shared" si="0"/>
        <v>1368786.8</v>
      </c>
      <c r="V21" s="250">
        <f t="shared" si="1"/>
        <v>578693.43000000005</v>
      </c>
      <c r="W21" s="251">
        <f t="shared" si="4"/>
        <v>11494724.87833981</v>
      </c>
      <c r="X21" s="233">
        <f t="shared" si="5"/>
        <v>1892.7589129490877</v>
      </c>
      <c r="Y21" s="252">
        <f t="shared" si="2"/>
        <v>0.55208357464834668</v>
      </c>
    </row>
    <row r="22" spans="1:25" x14ac:dyDescent="0.25">
      <c r="A22" s="108">
        <f>Données!A22</f>
        <v>5415</v>
      </c>
      <c r="B22" s="116" t="str">
        <f>Données!B22</f>
        <v>Yvorne</v>
      </c>
      <c r="C22" s="246">
        <f>Données!C22</f>
        <v>1119</v>
      </c>
      <c r="D22" s="247">
        <f>Données!D22</f>
        <v>71.5</v>
      </c>
      <c r="E22" s="248">
        <f>Données!E22</f>
        <v>1.5</v>
      </c>
      <c r="F22" s="249">
        <f>Données!F22</f>
        <v>1894143.26</v>
      </c>
      <c r="G22" s="249">
        <f>Données!G22</f>
        <v>403680.24</v>
      </c>
      <c r="H22" s="249">
        <f>Données!H22</f>
        <v>75311</v>
      </c>
      <c r="I22" s="249">
        <f>Données!I22</f>
        <v>15280.35</v>
      </c>
      <c r="J22" s="249">
        <f>Données!J22</f>
        <v>-1096.5999999999999</v>
      </c>
      <c r="K22" s="249">
        <f>Données!K22</f>
        <v>1788.53</v>
      </c>
      <c r="L22" s="249">
        <f>Données!L22</f>
        <v>-40463.660000000003</v>
      </c>
      <c r="M22" s="249">
        <f>Données!M22</f>
        <v>0</v>
      </c>
      <c r="N22" s="249">
        <f>Données!N22</f>
        <v>8613.1681143829555</v>
      </c>
      <c r="O22" s="249">
        <f>Données!O22</f>
        <v>414021.4</v>
      </c>
      <c r="P22" s="249">
        <f>Données!P22</f>
        <v>53190.76</v>
      </c>
      <c r="Q22" s="249">
        <f>Données!Q22</f>
        <v>24182.65</v>
      </c>
      <c r="R22" s="249">
        <f>Données!R22</f>
        <v>-5643.6</v>
      </c>
      <c r="S22" s="241"/>
      <c r="T22" s="233">
        <f t="shared" si="3"/>
        <v>2221958.0633477508</v>
      </c>
      <c r="U22" s="250">
        <f t="shared" si="0"/>
        <v>276014.26666666666</v>
      </c>
      <c r="V22" s="250">
        <f t="shared" si="1"/>
        <v>71729.81</v>
      </c>
      <c r="W22" s="251">
        <f t="shared" si="4"/>
        <v>2569702.1400144175</v>
      </c>
      <c r="X22" s="233">
        <f t="shared" si="5"/>
        <v>2296.4272922380851</v>
      </c>
      <c r="Y22" s="252">
        <f t="shared" si="2"/>
        <v>0.66982634700340615</v>
      </c>
    </row>
    <row r="23" spans="1:25" x14ac:dyDescent="0.25">
      <c r="A23" s="108">
        <f>Données!A23</f>
        <v>5422</v>
      </c>
      <c r="B23" s="116" t="str">
        <f>Données!B23</f>
        <v>Aubonne</v>
      </c>
      <c r="C23" s="246">
        <f>Données!C23</f>
        <v>3896</v>
      </c>
      <c r="D23" s="247">
        <f>Données!D23</f>
        <v>68</v>
      </c>
      <c r="E23" s="248">
        <f>Données!E23</f>
        <v>1</v>
      </c>
      <c r="F23" s="249">
        <f>Données!F23</f>
        <v>12092400.49</v>
      </c>
      <c r="G23" s="249">
        <f>Données!G23</f>
        <v>2094655.85</v>
      </c>
      <c r="H23" s="249">
        <f>Données!H23</f>
        <v>12953394.949999999</v>
      </c>
      <c r="I23" s="249">
        <f>Données!I23</f>
        <v>-1326196.8500000001</v>
      </c>
      <c r="J23" s="249">
        <f>Données!J23</f>
        <v>116580.35</v>
      </c>
      <c r="K23" s="249">
        <f>Données!K23</f>
        <v>17251.490000000002</v>
      </c>
      <c r="L23" s="249">
        <f>Données!L23</f>
        <v>-126690.86</v>
      </c>
      <c r="M23" s="249">
        <f>Données!M23</f>
        <v>0</v>
      </c>
      <c r="N23" s="249">
        <f>Données!N23</f>
        <v>1105480.9530328678</v>
      </c>
      <c r="O23" s="249">
        <f>Données!O23</f>
        <v>1246583.6599999999</v>
      </c>
      <c r="P23" s="249">
        <f>Données!P23</f>
        <v>444850.55</v>
      </c>
      <c r="Q23" s="249">
        <f>Données!Q23</f>
        <v>110024.2</v>
      </c>
      <c r="R23" s="249">
        <f>Données!R23</f>
        <v>-15864.36</v>
      </c>
      <c r="S23" s="241"/>
      <c r="T23" s="233">
        <f t="shared" si="3"/>
        <v>26687762.279681623</v>
      </c>
      <c r="U23" s="250">
        <f t="shared" si="0"/>
        <v>1246583.6599999999</v>
      </c>
      <c r="V23" s="250">
        <f t="shared" si="1"/>
        <v>539010.39</v>
      </c>
      <c r="W23" s="251">
        <f t="shared" si="4"/>
        <v>28473356.329681624</v>
      </c>
      <c r="X23" s="233">
        <f t="shared" si="5"/>
        <v>7308.3563474542152</v>
      </c>
      <c r="Y23" s="252">
        <f t="shared" si="2"/>
        <v>2.131715491868873</v>
      </c>
    </row>
    <row r="24" spans="1:25" x14ac:dyDescent="0.25">
      <c r="A24" s="108">
        <f>Données!A24</f>
        <v>5423</v>
      </c>
      <c r="B24" s="116" t="str">
        <f>Données!B24</f>
        <v>Ballens</v>
      </c>
      <c r="C24" s="246">
        <f>Données!C24</f>
        <v>580</v>
      </c>
      <c r="D24" s="247">
        <f>Données!D24</f>
        <v>73</v>
      </c>
      <c r="E24" s="248">
        <f>Données!E24</f>
        <v>0.5</v>
      </c>
      <c r="F24" s="249">
        <f>Données!F24</f>
        <v>915916.71</v>
      </c>
      <c r="G24" s="249">
        <f>Données!G24</f>
        <v>126587.61</v>
      </c>
      <c r="H24" s="249">
        <f>Données!H24</f>
        <v>29642.5</v>
      </c>
      <c r="I24" s="249">
        <f>Données!I24</f>
        <v>1550.4</v>
      </c>
      <c r="J24" s="249">
        <f>Données!J24</f>
        <v>0</v>
      </c>
      <c r="K24" s="249">
        <f>Données!K24</f>
        <v>2.84</v>
      </c>
      <c r="L24" s="249">
        <f>Données!L24</f>
        <v>-9546.9</v>
      </c>
      <c r="M24" s="249">
        <f>Données!M24</f>
        <v>0</v>
      </c>
      <c r="N24" s="249">
        <f>Données!N24</f>
        <v>2965.732287631613</v>
      </c>
      <c r="O24" s="249">
        <f>Données!O24</f>
        <v>47743.25</v>
      </c>
      <c r="P24" s="249">
        <f>Données!P24</f>
        <v>40617.75</v>
      </c>
      <c r="Q24" s="249">
        <f>Données!Q24</f>
        <v>-3334.65</v>
      </c>
      <c r="R24" s="249">
        <f>Données!R24</f>
        <v>-99.65</v>
      </c>
      <c r="S24" s="241"/>
      <c r="T24" s="233">
        <f t="shared" si="3"/>
        <v>985201.45694736287</v>
      </c>
      <c r="U24" s="250">
        <f t="shared" si="0"/>
        <v>95486.5</v>
      </c>
      <c r="V24" s="250">
        <f t="shared" si="1"/>
        <v>37183.449999999997</v>
      </c>
      <c r="W24" s="251">
        <f t="shared" si="4"/>
        <v>1117871.4069473629</v>
      </c>
      <c r="X24" s="233">
        <f t="shared" si="5"/>
        <v>1927.3644947368327</v>
      </c>
      <c r="Y24" s="252">
        <f t="shared" si="2"/>
        <v>0.5621773975676092</v>
      </c>
    </row>
    <row r="25" spans="1:25" x14ac:dyDescent="0.25">
      <c r="A25" s="108">
        <f>Données!A25</f>
        <v>5424</v>
      </c>
      <c r="B25" s="116" t="str">
        <f>Données!B25</f>
        <v>Berolle</v>
      </c>
      <c r="C25" s="246">
        <f>Données!C25</f>
        <v>300</v>
      </c>
      <c r="D25" s="247">
        <f>Données!D25</f>
        <v>75.5</v>
      </c>
      <c r="E25" s="248">
        <f>Données!E25</f>
        <v>1</v>
      </c>
      <c r="F25" s="249">
        <f>Données!F25</f>
        <v>549338.18999999994</v>
      </c>
      <c r="G25" s="249">
        <f>Données!G25</f>
        <v>98159.13</v>
      </c>
      <c r="H25" s="249">
        <f>Données!H25</f>
        <v>5037.3500000000004</v>
      </c>
      <c r="I25" s="249">
        <f>Données!I25</f>
        <v>1393.7</v>
      </c>
      <c r="J25" s="249">
        <f>Données!J25</f>
        <v>44297.7</v>
      </c>
      <c r="K25" s="249">
        <f>Données!K25</f>
        <v>176.63</v>
      </c>
      <c r="L25" s="249">
        <f>Données!L25</f>
        <v>-7975.81</v>
      </c>
      <c r="M25" s="249">
        <f>Données!M25</f>
        <v>0</v>
      </c>
      <c r="N25" s="249">
        <f>Données!N25</f>
        <v>611.44595816269998</v>
      </c>
      <c r="O25" s="249">
        <f>Données!O25</f>
        <v>56377.35</v>
      </c>
      <c r="P25" s="249">
        <f>Données!P25</f>
        <v>10122.86</v>
      </c>
      <c r="Q25" s="249">
        <f>Données!Q25</f>
        <v>1075.5</v>
      </c>
      <c r="R25" s="249">
        <f>Données!R25</f>
        <v>0</v>
      </c>
      <c r="S25" s="241"/>
      <c r="T25" s="233">
        <f t="shared" si="3"/>
        <v>616865.2221005219</v>
      </c>
      <c r="U25" s="250">
        <f t="shared" si="0"/>
        <v>56377.35</v>
      </c>
      <c r="V25" s="250">
        <f t="shared" si="1"/>
        <v>11198.36</v>
      </c>
      <c r="W25" s="251">
        <f t="shared" si="4"/>
        <v>684440.93210052187</v>
      </c>
      <c r="X25" s="233">
        <f t="shared" si="5"/>
        <v>2281.4697736684061</v>
      </c>
      <c r="Y25" s="252">
        <f t="shared" si="2"/>
        <v>0.66546350910401886</v>
      </c>
    </row>
    <row r="26" spans="1:25" x14ac:dyDescent="0.25">
      <c r="A26" s="108">
        <f>Données!A26</f>
        <v>5425</v>
      </c>
      <c r="B26" s="116" t="str">
        <f>Données!B26</f>
        <v>Bière</v>
      </c>
      <c r="C26" s="246">
        <f>Données!C26</f>
        <v>1701</v>
      </c>
      <c r="D26" s="247">
        <f>Données!D26</f>
        <v>69</v>
      </c>
      <c r="E26" s="248">
        <f>Données!E26</f>
        <v>0.57999999999999996</v>
      </c>
      <c r="F26" s="249">
        <f>Données!F26</f>
        <v>2203638.4</v>
      </c>
      <c r="G26" s="249">
        <f>Données!G26</f>
        <v>293385.90000000002</v>
      </c>
      <c r="H26" s="249">
        <f>Données!H26</f>
        <v>151318.04999999999</v>
      </c>
      <c r="I26" s="249">
        <f>Données!I26</f>
        <v>-11965.55</v>
      </c>
      <c r="J26" s="249">
        <f>Données!J26</f>
        <v>0</v>
      </c>
      <c r="K26" s="249">
        <f>Données!K26</f>
        <v>31318.13</v>
      </c>
      <c r="L26" s="249">
        <f>Données!L26</f>
        <v>-50848.17</v>
      </c>
      <c r="M26" s="249">
        <f>Données!M26</f>
        <v>0</v>
      </c>
      <c r="N26" s="249">
        <f>Données!N26</f>
        <v>13249.239686344787</v>
      </c>
      <c r="O26" s="249">
        <f>Données!O26</f>
        <v>141655.35</v>
      </c>
      <c r="P26" s="249">
        <f>Données!P26</f>
        <v>171965.23</v>
      </c>
      <c r="Q26" s="249">
        <f>Données!Q26</f>
        <v>20049.349999999999</v>
      </c>
      <c r="R26" s="249">
        <f>Données!R26</f>
        <v>-34.409999999999997</v>
      </c>
      <c r="S26" s="241"/>
      <c r="T26" s="233">
        <f t="shared" si="3"/>
        <v>2568961.5655172775</v>
      </c>
      <c r="U26" s="250">
        <f t="shared" si="0"/>
        <v>244233.36206896554</v>
      </c>
      <c r="V26" s="250">
        <f t="shared" si="1"/>
        <v>191980.17</v>
      </c>
      <c r="W26" s="251">
        <f t="shared" si="4"/>
        <v>3005175.0975862429</v>
      </c>
      <c r="X26" s="233">
        <f t="shared" si="5"/>
        <v>1766.7108157473504</v>
      </c>
      <c r="Y26" s="252">
        <f t="shared" si="2"/>
        <v>0.51531762225754196</v>
      </c>
    </row>
    <row r="27" spans="1:25" x14ac:dyDescent="0.25">
      <c r="A27" s="108">
        <f>Données!A27</f>
        <v>5426</v>
      </c>
      <c r="B27" s="116" t="str">
        <f>Données!B27</f>
        <v>Bougy-Villars</v>
      </c>
      <c r="C27" s="246">
        <f>Données!C27</f>
        <v>493</v>
      </c>
      <c r="D27" s="247">
        <f>Données!D27</f>
        <v>62</v>
      </c>
      <c r="E27" s="248">
        <f>Données!E27</f>
        <v>1.2</v>
      </c>
      <c r="F27" s="249">
        <f>Données!F27</f>
        <v>2527490.9</v>
      </c>
      <c r="G27" s="249">
        <f>Données!G27</f>
        <v>1068184.1499999999</v>
      </c>
      <c r="H27" s="249">
        <f>Données!H27</f>
        <v>47981.85</v>
      </c>
      <c r="I27" s="249">
        <f>Données!I27</f>
        <v>3065.5</v>
      </c>
      <c r="J27" s="249">
        <f>Données!J27</f>
        <v>764425.1</v>
      </c>
      <c r="K27" s="249">
        <f>Données!K27</f>
        <v>1299.8900000000001</v>
      </c>
      <c r="L27" s="249">
        <f>Données!L27</f>
        <v>-2010.6</v>
      </c>
      <c r="M27" s="249">
        <f>Données!M27</f>
        <v>0</v>
      </c>
      <c r="N27" s="249">
        <f>Données!N27</f>
        <v>4853.4369710104411</v>
      </c>
      <c r="O27" s="249">
        <f>Données!O27</f>
        <v>354391.5</v>
      </c>
      <c r="P27" s="249">
        <f>Données!P27</f>
        <v>72292.72</v>
      </c>
      <c r="Q27" s="249">
        <f>Données!Q27</f>
        <v>6169.3</v>
      </c>
      <c r="R27" s="249">
        <f>Données!R27</f>
        <v>-12503.2</v>
      </c>
      <c r="S27" s="241"/>
      <c r="T27" s="233">
        <f t="shared" si="3"/>
        <v>4799573.6826662859</v>
      </c>
      <c r="U27" s="250">
        <f t="shared" si="0"/>
        <v>295326.25</v>
      </c>
      <c r="V27" s="250">
        <f t="shared" si="1"/>
        <v>65958.820000000007</v>
      </c>
      <c r="W27" s="251">
        <f t="shared" si="4"/>
        <v>5160858.7526662862</v>
      </c>
      <c r="X27" s="233">
        <f t="shared" si="5"/>
        <v>10468.273331980297</v>
      </c>
      <c r="Y27" s="252">
        <f t="shared" si="2"/>
        <v>3.0534061797183027</v>
      </c>
    </row>
    <row r="28" spans="1:25" x14ac:dyDescent="0.25">
      <c r="A28" s="108">
        <f>Données!A28</f>
        <v>5427</v>
      </c>
      <c r="B28" s="116" t="str">
        <f>Données!B28</f>
        <v>Féchy</v>
      </c>
      <c r="C28" s="246">
        <f>Données!C28</f>
        <v>906</v>
      </c>
      <c r="D28" s="247">
        <f>Données!D28</f>
        <v>64</v>
      </c>
      <c r="E28" s="248">
        <f>Données!E28</f>
        <v>1.3</v>
      </c>
      <c r="F28" s="249">
        <f>Données!F28</f>
        <v>3245023.1</v>
      </c>
      <c r="G28" s="249">
        <f>Données!G28</f>
        <v>974291.45</v>
      </c>
      <c r="H28" s="249">
        <f>Données!H28</f>
        <v>4662.7</v>
      </c>
      <c r="I28" s="249">
        <f>Données!I28</f>
        <v>12396.1</v>
      </c>
      <c r="J28" s="249">
        <f>Données!J28</f>
        <v>627209</v>
      </c>
      <c r="K28" s="249">
        <f>Données!K28</f>
        <v>0</v>
      </c>
      <c r="L28" s="249">
        <f>Données!L28</f>
        <v>-7170.55</v>
      </c>
      <c r="M28" s="249">
        <f>Données!M28</f>
        <v>0</v>
      </c>
      <c r="N28" s="249">
        <f>Données!N28</f>
        <v>1621.9022260915192</v>
      </c>
      <c r="O28" s="249">
        <f>Données!O28</f>
        <v>508712.45</v>
      </c>
      <c r="P28" s="249">
        <f>Données!P28</f>
        <v>10185.32</v>
      </c>
      <c r="Q28" s="249">
        <f>Données!Q28</f>
        <v>14678.05</v>
      </c>
      <c r="R28" s="249">
        <f>Données!R28</f>
        <v>-26152.5</v>
      </c>
      <c r="S28" s="241"/>
      <c r="T28" s="233">
        <f t="shared" si="3"/>
        <v>5115824.6029098053</v>
      </c>
      <c r="U28" s="250">
        <f t="shared" si="0"/>
        <v>391317.26923076925</v>
      </c>
      <c r="V28" s="250">
        <f t="shared" si="1"/>
        <v>-1289.130000000001</v>
      </c>
      <c r="W28" s="251">
        <f t="shared" si="4"/>
        <v>5505852.7421405744</v>
      </c>
      <c r="X28" s="233">
        <f t="shared" si="5"/>
        <v>6077.1001568880511</v>
      </c>
      <c r="Y28" s="252">
        <f t="shared" si="2"/>
        <v>1.7725803086475969</v>
      </c>
    </row>
    <row r="29" spans="1:25" x14ac:dyDescent="0.25">
      <c r="A29" s="108">
        <f>Données!A29</f>
        <v>5428</v>
      </c>
      <c r="B29" s="116" t="str">
        <f>Données!B29</f>
        <v>Gimel</v>
      </c>
      <c r="C29" s="246">
        <f>Données!C29</f>
        <v>3343</v>
      </c>
      <c r="D29" s="247">
        <f>Données!D29</f>
        <v>73</v>
      </c>
      <c r="E29" s="248">
        <f>Données!E29</f>
        <v>1.2</v>
      </c>
      <c r="F29" s="249">
        <f>Données!F29</f>
        <v>6072352.1547191562</v>
      </c>
      <c r="G29" s="249">
        <f>Données!G29</f>
        <v>693318.90689448058</v>
      </c>
      <c r="H29" s="249">
        <f>Données!H29</f>
        <v>130745.57741071429</v>
      </c>
      <c r="I29" s="249">
        <f>Données!I29</f>
        <v>35655.484058441558</v>
      </c>
      <c r="J29" s="249">
        <f>Données!J29</f>
        <v>19512.094155844155</v>
      </c>
      <c r="K29" s="249">
        <f>Données!K29</f>
        <v>15011.78</v>
      </c>
      <c r="L29" s="249">
        <f>Données!L29</f>
        <v>-99261.888407467544</v>
      </c>
      <c r="M29" s="249">
        <f>Données!M29</f>
        <v>0</v>
      </c>
      <c r="N29" s="249">
        <f>Données!N29</f>
        <v>15820.940043896149</v>
      </c>
      <c r="O29" s="249">
        <f>Données!O29</f>
        <v>764741.46</v>
      </c>
      <c r="P29" s="249">
        <f>Données!P29</f>
        <v>254071.53</v>
      </c>
      <c r="Q29" s="249">
        <f>Données!Q29</f>
        <v>29849.55</v>
      </c>
      <c r="R29" s="249">
        <f>Données!R29</f>
        <v>-1908.31</v>
      </c>
      <c r="S29" s="241"/>
      <c r="T29" s="233">
        <f t="shared" si="3"/>
        <v>6354769.3059851481</v>
      </c>
      <c r="U29" s="250">
        <f t="shared" si="0"/>
        <v>637284.55000000005</v>
      </c>
      <c r="V29" s="250">
        <f t="shared" si="1"/>
        <v>282012.77</v>
      </c>
      <c r="W29" s="251">
        <f t="shared" si="4"/>
        <v>7274066.6259851474</v>
      </c>
      <c r="X29" s="233">
        <f t="shared" si="5"/>
        <v>2175.9098492327694</v>
      </c>
      <c r="Y29" s="252">
        <f t="shared" si="2"/>
        <v>0.63467358650831251</v>
      </c>
    </row>
    <row r="30" spans="1:25" x14ac:dyDescent="0.25">
      <c r="A30" s="108">
        <f>Données!A30</f>
        <v>5429</v>
      </c>
      <c r="B30" s="116" t="str">
        <f>Données!B30</f>
        <v>Longirod</v>
      </c>
      <c r="C30" s="246">
        <f>Données!C30</f>
        <v>558</v>
      </c>
      <c r="D30" s="247">
        <f>Données!D30</f>
        <v>77.5</v>
      </c>
      <c r="E30" s="248">
        <f>Données!E30</f>
        <v>1</v>
      </c>
      <c r="F30" s="249">
        <f>Données!F30</f>
        <v>1145854.8</v>
      </c>
      <c r="G30" s="249">
        <f>Données!G30</f>
        <v>169745.69</v>
      </c>
      <c r="H30" s="249">
        <f>Données!H30</f>
        <v>6554.55</v>
      </c>
      <c r="I30" s="249">
        <f>Données!I30</f>
        <v>3668</v>
      </c>
      <c r="J30" s="249">
        <f>Données!J30</f>
        <v>0</v>
      </c>
      <c r="K30" s="249">
        <f>Données!K30</f>
        <v>5705.34</v>
      </c>
      <c r="L30" s="249">
        <f>Données!L30</f>
        <v>-30187.22</v>
      </c>
      <c r="M30" s="249">
        <f>Données!M30</f>
        <v>0</v>
      </c>
      <c r="N30" s="249">
        <f>Données!N30</f>
        <v>971.93100343118272</v>
      </c>
      <c r="O30" s="249">
        <f>Données!O30</f>
        <v>117700.8</v>
      </c>
      <c r="P30" s="249">
        <f>Données!P30</f>
        <v>25081.84</v>
      </c>
      <c r="Q30" s="249">
        <f>Données!Q30</f>
        <v>1196.5</v>
      </c>
      <c r="R30" s="249">
        <f>Données!R30</f>
        <v>0</v>
      </c>
      <c r="S30" s="241"/>
      <c r="T30" s="233">
        <f t="shared" si="3"/>
        <v>1132527.6150573448</v>
      </c>
      <c r="U30" s="250">
        <f t="shared" si="0"/>
        <v>117700.8</v>
      </c>
      <c r="V30" s="250">
        <f t="shared" si="1"/>
        <v>26278.34</v>
      </c>
      <c r="W30" s="251">
        <f t="shared" si="4"/>
        <v>1276506.7550573449</v>
      </c>
      <c r="X30" s="233">
        <f t="shared" si="5"/>
        <v>2287.6465144396861</v>
      </c>
      <c r="Y30" s="252">
        <f t="shared" si="2"/>
        <v>0.6672651527794784</v>
      </c>
    </row>
    <row r="31" spans="1:25" x14ac:dyDescent="0.25">
      <c r="A31" s="108">
        <f>Données!A31</f>
        <v>5430</v>
      </c>
      <c r="B31" s="116" t="str">
        <f>Données!B31</f>
        <v>Marchissy</v>
      </c>
      <c r="C31" s="246">
        <f>Données!C31</f>
        <v>492</v>
      </c>
      <c r="D31" s="247">
        <f>Données!D31</f>
        <v>77.5</v>
      </c>
      <c r="E31" s="248">
        <f>Données!E31</f>
        <v>1</v>
      </c>
      <c r="F31" s="249">
        <f>Données!F31</f>
        <v>1026629.84</v>
      </c>
      <c r="G31" s="249">
        <f>Données!G31</f>
        <v>208596.19</v>
      </c>
      <c r="H31" s="249">
        <f>Données!H31</f>
        <v>10712.3</v>
      </c>
      <c r="I31" s="249">
        <f>Données!I31</f>
        <v>882.2</v>
      </c>
      <c r="J31" s="249">
        <f>Données!J31</f>
        <v>0</v>
      </c>
      <c r="K31" s="249">
        <f>Données!K31</f>
        <v>0</v>
      </c>
      <c r="L31" s="249">
        <f>Données!L31</f>
        <v>-2404.4</v>
      </c>
      <c r="M31" s="249">
        <f>Données!M31</f>
        <v>0</v>
      </c>
      <c r="N31" s="249">
        <f>Données!N31</f>
        <v>1102.3721106067321</v>
      </c>
      <c r="O31" s="249">
        <f>Données!O31</f>
        <v>97462.8</v>
      </c>
      <c r="P31" s="249">
        <f>Données!P31</f>
        <v>10438</v>
      </c>
      <c r="Q31" s="249">
        <f>Données!Q31</f>
        <v>1015.5</v>
      </c>
      <c r="R31" s="249">
        <f>Données!R31</f>
        <v>-451.6</v>
      </c>
      <c r="S31" s="241"/>
      <c r="T31" s="233">
        <f t="shared" si="3"/>
        <v>1083137.4639859207</v>
      </c>
      <c r="U31" s="250">
        <f t="shared" si="0"/>
        <v>97462.8</v>
      </c>
      <c r="V31" s="250">
        <f t="shared" si="1"/>
        <v>11001.9</v>
      </c>
      <c r="W31" s="251">
        <f t="shared" si="4"/>
        <v>1191602.1639859206</v>
      </c>
      <c r="X31" s="233">
        <f t="shared" si="5"/>
        <v>2421.9556178575622</v>
      </c>
      <c r="Y31" s="252">
        <f t="shared" si="2"/>
        <v>0.70644069141541777</v>
      </c>
    </row>
    <row r="32" spans="1:25" x14ac:dyDescent="0.25">
      <c r="A32" s="108">
        <f>Données!A32</f>
        <v>5431</v>
      </c>
      <c r="B32" s="116" t="str">
        <f>Données!B32</f>
        <v>Mollens</v>
      </c>
      <c r="C32" s="246">
        <f>Données!C32</f>
        <v>320</v>
      </c>
      <c r="D32" s="247">
        <f>Données!D32</f>
        <v>74</v>
      </c>
      <c r="E32" s="248">
        <f>Données!E32</f>
        <v>1</v>
      </c>
      <c r="F32" s="249">
        <f>Données!F32</f>
        <v>658797.9</v>
      </c>
      <c r="G32" s="249">
        <f>Données!G32</f>
        <v>101622.6</v>
      </c>
      <c r="H32" s="249">
        <f>Données!H32</f>
        <v>6323.55</v>
      </c>
      <c r="I32" s="249">
        <f>Données!I32</f>
        <v>1708.4</v>
      </c>
      <c r="J32" s="249">
        <f>Données!J32</f>
        <v>0</v>
      </c>
      <c r="K32" s="249">
        <f>Données!K32</f>
        <v>0</v>
      </c>
      <c r="L32" s="249">
        <f>Données!L32</f>
        <v>-12190.79</v>
      </c>
      <c r="M32" s="249">
        <f>Données!M32</f>
        <v>0</v>
      </c>
      <c r="N32" s="249">
        <f>Données!N32</f>
        <v>763.65498070531225</v>
      </c>
      <c r="O32" s="249">
        <f>Données!O32</f>
        <v>59423.7</v>
      </c>
      <c r="P32" s="249">
        <f>Données!P32</f>
        <v>13993.58</v>
      </c>
      <c r="Q32" s="249">
        <f>Données!Q32</f>
        <v>1133.5</v>
      </c>
      <c r="R32" s="249">
        <f>Données!R32</f>
        <v>-816.05</v>
      </c>
      <c r="S32" s="241"/>
      <c r="T32" s="233">
        <f t="shared" si="3"/>
        <v>689467.46882349369</v>
      </c>
      <c r="U32" s="250">
        <f t="shared" si="0"/>
        <v>59423.7</v>
      </c>
      <c r="V32" s="250">
        <f t="shared" si="1"/>
        <v>14311.03</v>
      </c>
      <c r="W32" s="251">
        <f t="shared" si="4"/>
        <v>763202.19882349367</v>
      </c>
      <c r="X32" s="233">
        <f t="shared" si="5"/>
        <v>2385.0068713234177</v>
      </c>
      <c r="Y32" s="252">
        <f t="shared" si="2"/>
        <v>0.69566340967827189</v>
      </c>
    </row>
    <row r="33" spans="1:25" x14ac:dyDescent="0.25">
      <c r="A33" s="108">
        <f>Données!A33</f>
        <v>5434</v>
      </c>
      <c r="B33" s="116" t="str">
        <f>Données!B33</f>
        <v>Saint-George</v>
      </c>
      <c r="C33" s="246">
        <f>Données!C33</f>
        <v>1082</v>
      </c>
      <c r="D33" s="247">
        <f>Données!D33</f>
        <v>69.5</v>
      </c>
      <c r="E33" s="248">
        <f>Données!E33</f>
        <v>1.2</v>
      </c>
      <c r="F33" s="249">
        <f>Données!F33</f>
        <v>2499206.36</v>
      </c>
      <c r="G33" s="249">
        <f>Données!G33</f>
        <v>388320.28</v>
      </c>
      <c r="H33" s="249">
        <f>Données!H33</f>
        <v>14539.75</v>
      </c>
      <c r="I33" s="249">
        <f>Données!I33</f>
        <v>6004.4</v>
      </c>
      <c r="J33" s="249">
        <f>Données!J33</f>
        <v>0</v>
      </c>
      <c r="K33" s="249">
        <f>Données!K33</f>
        <v>70571.08</v>
      </c>
      <c r="L33" s="249">
        <f>Données!L33</f>
        <v>-70803.95</v>
      </c>
      <c r="M33" s="249">
        <f>Données!M33</f>
        <v>0</v>
      </c>
      <c r="N33" s="249">
        <f>Données!N33</f>
        <v>1953.2793993808527</v>
      </c>
      <c r="O33" s="249">
        <f>Données!O33</f>
        <v>305651.34999999998</v>
      </c>
      <c r="P33" s="249">
        <f>Données!P33</f>
        <v>64853.71</v>
      </c>
      <c r="Q33" s="249">
        <f>Données!Q33</f>
        <v>4799.2</v>
      </c>
      <c r="R33" s="249">
        <f>Données!R33</f>
        <v>-2514</v>
      </c>
      <c r="S33" s="241"/>
      <c r="T33" s="233">
        <f t="shared" si="3"/>
        <v>2821708.3169532646</v>
      </c>
      <c r="U33" s="250">
        <f t="shared" si="0"/>
        <v>254709.45833333331</v>
      </c>
      <c r="V33" s="250">
        <f t="shared" si="1"/>
        <v>67138.91</v>
      </c>
      <c r="W33" s="251">
        <f t="shared" si="4"/>
        <v>3143556.6852865983</v>
      </c>
      <c r="X33" s="233">
        <f t="shared" si="5"/>
        <v>2905.3204115402941</v>
      </c>
      <c r="Y33" s="252">
        <f t="shared" si="2"/>
        <v>0.84742946781469775</v>
      </c>
    </row>
    <row r="34" spans="1:25" x14ac:dyDescent="0.25">
      <c r="A34" s="108">
        <f>Données!A34</f>
        <v>5435</v>
      </c>
      <c r="B34" s="116" t="str">
        <f>Données!B34</f>
        <v>Saint-Livres</v>
      </c>
      <c r="C34" s="246">
        <f>Données!C34</f>
        <v>708</v>
      </c>
      <c r="D34" s="247">
        <f>Données!D34</f>
        <v>69</v>
      </c>
      <c r="E34" s="248">
        <f>Données!E34</f>
        <v>1</v>
      </c>
      <c r="F34" s="249">
        <f>Données!F34</f>
        <v>1337091.78</v>
      </c>
      <c r="G34" s="249">
        <f>Données!G34</f>
        <v>161115.14000000001</v>
      </c>
      <c r="H34" s="249">
        <f>Données!H34</f>
        <v>10714.35</v>
      </c>
      <c r="I34" s="249">
        <f>Données!I34</f>
        <v>908</v>
      </c>
      <c r="J34" s="249">
        <f>Données!J34</f>
        <v>0</v>
      </c>
      <c r="K34" s="249">
        <f>Données!K34</f>
        <v>545.47</v>
      </c>
      <c r="L34" s="249">
        <f>Données!L34</f>
        <v>-17435.849999999999</v>
      </c>
      <c r="M34" s="249">
        <f>Données!M34</f>
        <v>0</v>
      </c>
      <c r="N34" s="249">
        <f>Données!N34</f>
        <v>1105.0200094622583</v>
      </c>
      <c r="O34" s="249">
        <f>Données!O34</f>
        <v>143466.1</v>
      </c>
      <c r="P34" s="249">
        <f>Données!P34</f>
        <v>41867.06</v>
      </c>
      <c r="Q34" s="249">
        <f>Données!Q34</f>
        <v>0</v>
      </c>
      <c r="R34" s="249">
        <f>Données!R34</f>
        <v>-780.4</v>
      </c>
      <c r="S34" s="241"/>
      <c r="T34" s="233">
        <f t="shared" si="3"/>
        <v>1459316.079134444</v>
      </c>
      <c r="U34" s="250">
        <f t="shared" si="0"/>
        <v>143466.1</v>
      </c>
      <c r="V34" s="250">
        <f t="shared" si="1"/>
        <v>41086.659999999996</v>
      </c>
      <c r="W34" s="251">
        <f t="shared" si="4"/>
        <v>1643868.839134444</v>
      </c>
      <c r="X34" s="233">
        <f t="shared" si="5"/>
        <v>2321.8486428452597</v>
      </c>
      <c r="Y34" s="252">
        <f t="shared" si="2"/>
        <v>0.6772412956371604</v>
      </c>
    </row>
    <row r="35" spans="1:25" x14ac:dyDescent="0.25">
      <c r="A35" s="108">
        <f>Données!A35</f>
        <v>5451</v>
      </c>
      <c r="B35" s="116" t="str">
        <f>Données!B35</f>
        <v>Avenches</v>
      </c>
      <c r="C35" s="246">
        <f>Données!C35</f>
        <v>4953</v>
      </c>
      <c r="D35" s="247">
        <f>Données!D35</f>
        <v>65</v>
      </c>
      <c r="E35" s="248">
        <f>Données!E35</f>
        <v>1.5</v>
      </c>
      <c r="F35" s="249">
        <f>Données!F35</f>
        <v>5385007.2199999997</v>
      </c>
      <c r="G35" s="249">
        <f>Données!G35</f>
        <v>646543.44999999995</v>
      </c>
      <c r="H35" s="249">
        <f>Données!H35</f>
        <v>1484259.1</v>
      </c>
      <c r="I35" s="249">
        <f>Données!I35</f>
        <v>57865</v>
      </c>
      <c r="J35" s="249">
        <f>Données!J35</f>
        <v>0</v>
      </c>
      <c r="K35" s="249">
        <f>Données!K35</f>
        <v>65596.679999999993</v>
      </c>
      <c r="L35" s="249">
        <f>Données!L35</f>
        <v>-264531.25</v>
      </c>
      <c r="M35" s="249">
        <f>Données!M35</f>
        <v>0</v>
      </c>
      <c r="N35" s="249">
        <f>Données!N35</f>
        <v>146620.77700069061</v>
      </c>
      <c r="O35" s="249">
        <f>Données!O35</f>
        <v>1576843.5</v>
      </c>
      <c r="P35" s="249">
        <f>Données!P35</f>
        <v>501492.21</v>
      </c>
      <c r="Q35" s="249">
        <f>Données!Q35</f>
        <v>144807.95000000001</v>
      </c>
      <c r="R35" s="249">
        <f>Données!R35</f>
        <v>-2224.75</v>
      </c>
      <c r="S35" s="241"/>
      <c r="T35" s="233">
        <f t="shared" si="3"/>
        <v>7798627.4254127061</v>
      </c>
      <c r="U35" s="250">
        <f t="shared" si="0"/>
        <v>1051229</v>
      </c>
      <c r="V35" s="250">
        <f t="shared" si="1"/>
        <v>644075.41</v>
      </c>
      <c r="W35" s="251">
        <f t="shared" si="4"/>
        <v>9493931.8354127072</v>
      </c>
      <c r="X35" s="233">
        <f t="shared" si="5"/>
        <v>1916.8043277635186</v>
      </c>
      <c r="Y35" s="252">
        <f t="shared" si="2"/>
        <v>0.55909718767313998</v>
      </c>
    </row>
    <row r="36" spans="1:25" x14ac:dyDescent="0.25">
      <c r="A36" s="108">
        <f>Données!A36</f>
        <v>5456</v>
      </c>
      <c r="B36" s="116" t="str">
        <f>Données!B36</f>
        <v>Cudrefin</v>
      </c>
      <c r="C36" s="246">
        <f>Données!C36</f>
        <v>1915</v>
      </c>
      <c r="D36" s="247">
        <f>Données!D36</f>
        <v>59</v>
      </c>
      <c r="E36" s="248">
        <f>Données!E36</f>
        <v>1.5</v>
      </c>
      <c r="F36" s="249">
        <f>Données!F36</f>
        <v>3388005.39</v>
      </c>
      <c r="G36" s="249">
        <f>Données!G36</f>
        <v>341212.43</v>
      </c>
      <c r="H36" s="249">
        <f>Données!H36</f>
        <v>16326.55</v>
      </c>
      <c r="I36" s="249">
        <f>Données!I36</f>
        <v>13344.75</v>
      </c>
      <c r="J36" s="249">
        <f>Données!J36</f>
        <v>0</v>
      </c>
      <c r="K36" s="249">
        <f>Données!K36</f>
        <v>357.9</v>
      </c>
      <c r="L36" s="249">
        <f>Données!L36</f>
        <v>-7709.78</v>
      </c>
      <c r="M36" s="249">
        <f>Données!M36</f>
        <v>0</v>
      </c>
      <c r="N36" s="249">
        <f>Données!N36</f>
        <v>2821.0628837332811</v>
      </c>
      <c r="O36" s="249">
        <f>Données!O36</f>
        <v>599052.94999999995</v>
      </c>
      <c r="P36" s="249">
        <f>Données!P36</f>
        <v>29185.9</v>
      </c>
      <c r="Q36" s="249">
        <f>Données!Q36</f>
        <v>4193.45</v>
      </c>
      <c r="R36" s="249">
        <f>Données!R36</f>
        <v>-1000</v>
      </c>
      <c r="S36" s="241"/>
      <c r="T36" s="233">
        <f t="shared" si="3"/>
        <v>4288632.2092767321</v>
      </c>
      <c r="U36" s="250">
        <f t="shared" si="0"/>
        <v>399368.6333333333</v>
      </c>
      <c r="V36" s="250">
        <f t="shared" si="1"/>
        <v>32379.35</v>
      </c>
      <c r="W36" s="251">
        <f t="shared" si="4"/>
        <v>4720380.1926100645</v>
      </c>
      <c r="X36" s="233">
        <f t="shared" si="5"/>
        <v>2464.9504922245769</v>
      </c>
      <c r="Y36" s="252">
        <f t="shared" si="2"/>
        <v>0.71898151939393407</v>
      </c>
    </row>
    <row r="37" spans="1:25" x14ac:dyDescent="0.25">
      <c r="A37" s="108">
        <f>Données!A37</f>
        <v>5458</v>
      </c>
      <c r="B37" s="116" t="str">
        <f>Données!B37</f>
        <v>Faoug</v>
      </c>
      <c r="C37" s="246">
        <f>Données!C37</f>
        <v>902</v>
      </c>
      <c r="D37" s="247">
        <f>Données!D37</f>
        <v>65</v>
      </c>
      <c r="E37" s="248">
        <f>Données!E37</f>
        <v>1.5</v>
      </c>
      <c r="F37" s="249">
        <f>Données!F37</f>
        <v>1474155.8</v>
      </c>
      <c r="G37" s="249">
        <f>Données!G37</f>
        <v>302982.78999999998</v>
      </c>
      <c r="H37" s="249">
        <f>Données!H37</f>
        <v>16288.75</v>
      </c>
      <c r="I37" s="249">
        <f>Données!I37</f>
        <v>4341.1000000000004</v>
      </c>
      <c r="J37" s="249">
        <f>Données!J37</f>
        <v>0</v>
      </c>
      <c r="K37" s="249">
        <f>Données!K37</f>
        <v>859.57</v>
      </c>
      <c r="L37" s="249">
        <f>Données!L37</f>
        <v>-22290.95</v>
      </c>
      <c r="M37" s="249">
        <f>Données!M37</f>
        <v>0</v>
      </c>
      <c r="N37" s="249">
        <f>Données!N37</f>
        <v>1961.4275118375342</v>
      </c>
      <c r="O37" s="249">
        <f>Données!O37</f>
        <v>299653.09999999998</v>
      </c>
      <c r="P37" s="249">
        <f>Données!P37</f>
        <v>74351.839999999997</v>
      </c>
      <c r="Q37" s="249">
        <f>Données!Q37</f>
        <v>13446.75</v>
      </c>
      <c r="R37" s="249">
        <f>Données!R37</f>
        <v>-1120.55</v>
      </c>
      <c r="S37" s="241"/>
      <c r="T37" s="233">
        <f t="shared" si="3"/>
        <v>1843853.44589724</v>
      </c>
      <c r="U37" s="250">
        <f t="shared" si="0"/>
        <v>199768.73333333331</v>
      </c>
      <c r="V37" s="250">
        <f t="shared" si="1"/>
        <v>86678.04</v>
      </c>
      <c r="W37" s="251">
        <f t="shared" si="4"/>
        <v>2130300.2192305732</v>
      </c>
      <c r="X37" s="233">
        <f t="shared" si="5"/>
        <v>2361.7519060205909</v>
      </c>
      <c r="Y37" s="252">
        <f t="shared" si="2"/>
        <v>0.68888035649338208</v>
      </c>
    </row>
    <row r="38" spans="1:25" x14ac:dyDescent="0.25">
      <c r="A38" s="108">
        <f>Données!A38</f>
        <v>5464</v>
      </c>
      <c r="B38" s="116" t="str">
        <f>Données!B38</f>
        <v>Vully-les-Lacs</v>
      </c>
      <c r="C38" s="246">
        <f>Données!C38</f>
        <v>3698</v>
      </c>
      <c r="D38" s="247">
        <f>Données!D38</f>
        <v>67</v>
      </c>
      <c r="E38" s="248">
        <f>Données!E38</f>
        <v>1.5</v>
      </c>
      <c r="F38" s="249">
        <f>Données!F38</f>
        <v>6321246.2599999998</v>
      </c>
      <c r="G38" s="249">
        <f>Données!G38</f>
        <v>1210376.94</v>
      </c>
      <c r="H38" s="249">
        <f>Données!H38</f>
        <v>112243.45</v>
      </c>
      <c r="I38" s="249">
        <f>Données!I38</f>
        <v>24186.3</v>
      </c>
      <c r="J38" s="249">
        <f>Données!J38</f>
        <v>34844.5</v>
      </c>
      <c r="K38" s="249">
        <f>Données!K38</f>
        <v>37982.31</v>
      </c>
      <c r="L38" s="249">
        <f>Données!L38</f>
        <v>-140950.49</v>
      </c>
      <c r="M38" s="249">
        <f>Données!M38</f>
        <v>0</v>
      </c>
      <c r="N38" s="249">
        <f>Données!N38</f>
        <v>12971.352922251826</v>
      </c>
      <c r="O38" s="249">
        <f>Données!O38</f>
        <v>1232159.8500000001</v>
      </c>
      <c r="P38" s="249">
        <f>Données!P38</f>
        <v>139210.76999999999</v>
      </c>
      <c r="Q38" s="249">
        <f>Données!Q38</f>
        <v>43979.8</v>
      </c>
      <c r="R38" s="249">
        <f>Données!R38</f>
        <v>-3960.85</v>
      </c>
      <c r="S38" s="241"/>
      <c r="T38" s="233">
        <f t="shared" si="3"/>
        <v>7657913.4698733799</v>
      </c>
      <c r="U38" s="250">
        <f t="shared" si="0"/>
        <v>821439.9</v>
      </c>
      <c r="V38" s="250">
        <f t="shared" si="1"/>
        <v>179229.72</v>
      </c>
      <c r="W38" s="251">
        <f t="shared" si="4"/>
        <v>8658583.089873381</v>
      </c>
      <c r="X38" s="233">
        <f t="shared" si="5"/>
        <v>2341.4232260339049</v>
      </c>
      <c r="Y38" s="252">
        <f t="shared" si="2"/>
        <v>0.68295084786016413</v>
      </c>
    </row>
    <row r="39" spans="1:25" x14ac:dyDescent="0.25">
      <c r="A39" s="108">
        <f>Données!A39</f>
        <v>5471</v>
      </c>
      <c r="B39" s="116" t="str">
        <f>Données!B39</f>
        <v>Bettens</v>
      </c>
      <c r="C39" s="246">
        <f>Données!C39</f>
        <v>652</v>
      </c>
      <c r="D39" s="247">
        <f>Données!D39</f>
        <v>70</v>
      </c>
      <c r="E39" s="248">
        <f>Données!E39</f>
        <v>0.9</v>
      </c>
      <c r="F39" s="249">
        <f>Données!F39</f>
        <v>1396590.25</v>
      </c>
      <c r="G39" s="249">
        <f>Données!G39</f>
        <v>156741.21</v>
      </c>
      <c r="H39" s="249">
        <f>Données!H39</f>
        <v>43088.95</v>
      </c>
      <c r="I39" s="249">
        <f>Données!I39</f>
        <v>2673.45</v>
      </c>
      <c r="J39" s="249">
        <f>Données!J39</f>
        <v>0</v>
      </c>
      <c r="K39" s="249">
        <f>Données!K39</f>
        <v>10231.5</v>
      </c>
      <c r="L39" s="249">
        <f>Données!L39</f>
        <v>-23453.360000000001</v>
      </c>
      <c r="M39" s="249">
        <f>Données!M39</f>
        <v>0</v>
      </c>
      <c r="N39" s="249">
        <f>Données!N39</f>
        <v>4350.9589438466091</v>
      </c>
      <c r="O39" s="249">
        <f>Données!O39</f>
        <v>128473.8</v>
      </c>
      <c r="P39" s="249">
        <f>Données!P39</f>
        <v>48953.85</v>
      </c>
      <c r="Q39" s="249">
        <f>Données!Q39</f>
        <v>5820.25</v>
      </c>
      <c r="R39" s="249">
        <f>Données!R39</f>
        <v>-680.05</v>
      </c>
      <c r="S39" s="241"/>
      <c r="T39" s="233">
        <f t="shared" si="3"/>
        <v>1531070.1028217715</v>
      </c>
      <c r="U39" s="250">
        <f t="shared" si="0"/>
        <v>142748.66666666666</v>
      </c>
      <c r="V39" s="250">
        <f t="shared" si="1"/>
        <v>54094.049999999996</v>
      </c>
      <c r="W39" s="251">
        <f t="shared" si="4"/>
        <v>1727912.8194884383</v>
      </c>
      <c r="X39" s="233">
        <f t="shared" si="5"/>
        <v>2650.1730360252122</v>
      </c>
      <c r="Y39" s="252">
        <f t="shared" si="2"/>
        <v>0.77300758863462105</v>
      </c>
    </row>
    <row r="40" spans="1:25" x14ac:dyDescent="0.25">
      <c r="A40" s="108">
        <f>Données!A40</f>
        <v>5472</v>
      </c>
      <c r="B40" s="116" t="str">
        <f>Données!B40</f>
        <v>Bournens</v>
      </c>
      <c r="C40" s="246">
        <f>Données!C40</f>
        <v>612</v>
      </c>
      <c r="D40" s="247">
        <f>Données!D40</f>
        <v>65</v>
      </c>
      <c r="E40" s="248">
        <f>Données!E40</f>
        <v>1</v>
      </c>
      <c r="F40" s="249">
        <f>Données!F40</f>
        <v>1223893.49</v>
      </c>
      <c r="G40" s="249">
        <f>Données!G40</f>
        <v>173088.8</v>
      </c>
      <c r="H40" s="249">
        <f>Données!H40</f>
        <v>6227.55</v>
      </c>
      <c r="I40" s="249">
        <f>Données!I40</f>
        <v>4621.7</v>
      </c>
      <c r="J40" s="249">
        <f>Données!J40</f>
        <v>0</v>
      </c>
      <c r="K40" s="249">
        <f>Données!K40</f>
        <v>24.69</v>
      </c>
      <c r="L40" s="249">
        <f>Données!L40</f>
        <v>-14482.28</v>
      </c>
      <c r="M40" s="249">
        <f>Données!M40</f>
        <v>0</v>
      </c>
      <c r="N40" s="249">
        <f>Données!N40</f>
        <v>1031.5158584673843</v>
      </c>
      <c r="O40" s="249">
        <f>Données!O40</f>
        <v>127589.4</v>
      </c>
      <c r="P40" s="249">
        <f>Données!P40</f>
        <v>23579.25</v>
      </c>
      <c r="Q40" s="249">
        <f>Données!Q40</f>
        <v>948.45</v>
      </c>
      <c r="R40" s="249">
        <f>Données!R40</f>
        <v>-901.4</v>
      </c>
      <c r="S40" s="241"/>
      <c r="T40" s="233">
        <f t="shared" si="3"/>
        <v>1445808.6430689639</v>
      </c>
      <c r="U40" s="250">
        <f t="shared" si="0"/>
        <v>127589.4</v>
      </c>
      <c r="V40" s="250">
        <f t="shared" si="1"/>
        <v>23626.3</v>
      </c>
      <c r="W40" s="251">
        <f t="shared" si="4"/>
        <v>1597024.3430689638</v>
      </c>
      <c r="X40" s="233">
        <f t="shared" si="5"/>
        <v>2609.5169004394834</v>
      </c>
      <c r="Y40" s="252">
        <f t="shared" si="2"/>
        <v>0.76114892849993709</v>
      </c>
    </row>
    <row r="41" spans="1:25" x14ac:dyDescent="0.25">
      <c r="A41" s="108">
        <f>Données!A41</f>
        <v>5473</v>
      </c>
      <c r="B41" s="116" t="str">
        <f>Données!B41</f>
        <v>Boussens</v>
      </c>
      <c r="C41" s="246">
        <f>Données!C41</f>
        <v>1016</v>
      </c>
      <c r="D41" s="247">
        <f>Données!D41</f>
        <v>64</v>
      </c>
      <c r="E41" s="248">
        <f>Données!E41</f>
        <v>1</v>
      </c>
      <c r="F41" s="249">
        <f>Données!F41</f>
        <v>1934789.64</v>
      </c>
      <c r="G41" s="249">
        <f>Données!G41</f>
        <v>207689.97</v>
      </c>
      <c r="H41" s="249">
        <f>Données!H41</f>
        <v>18430.5</v>
      </c>
      <c r="I41" s="249">
        <f>Données!I41</f>
        <v>2272.1</v>
      </c>
      <c r="J41" s="249">
        <f>Données!J41</f>
        <v>0</v>
      </c>
      <c r="K41" s="249">
        <f>Données!K41</f>
        <v>1794.22</v>
      </c>
      <c r="L41" s="249">
        <f>Données!L41</f>
        <v>-7505.27</v>
      </c>
      <c r="M41" s="249">
        <f>Données!M41</f>
        <v>0</v>
      </c>
      <c r="N41" s="249">
        <f>Données!N41</f>
        <v>1968.3443750956858</v>
      </c>
      <c r="O41" s="249">
        <f>Données!O41</f>
        <v>208240.5</v>
      </c>
      <c r="P41" s="249">
        <f>Données!P41</f>
        <v>19914.59</v>
      </c>
      <c r="Q41" s="249">
        <f>Données!Q41</f>
        <v>5169.75</v>
      </c>
      <c r="R41" s="249">
        <f>Données!R41</f>
        <v>-229.65</v>
      </c>
      <c r="S41" s="241"/>
      <c r="T41" s="233">
        <f t="shared" si="3"/>
        <v>2274029.8693101439</v>
      </c>
      <c r="U41" s="250">
        <f t="shared" si="0"/>
        <v>208240.5</v>
      </c>
      <c r="V41" s="250">
        <f t="shared" si="1"/>
        <v>24854.69</v>
      </c>
      <c r="W41" s="251">
        <f t="shared" si="4"/>
        <v>2507125.0593101438</v>
      </c>
      <c r="X41" s="233">
        <f t="shared" si="5"/>
        <v>2467.6427749115587</v>
      </c>
      <c r="Y41" s="252">
        <f t="shared" si="2"/>
        <v>0.71976680960687345</v>
      </c>
    </row>
    <row r="42" spans="1:25" x14ac:dyDescent="0.25">
      <c r="A42" s="108">
        <f>Données!A42</f>
        <v>5474</v>
      </c>
      <c r="B42" s="116" t="str">
        <f>Données!B42</f>
        <v>La Chaux (Cossonay)</v>
      </c>
      <c r="C42" s="246">
        <f>Données!C42</f>
        <v>421</v>
      </c>
      <c r="D42" s="247">
        <f>Données!D42</f>
        <v>76</v>
      </c>
      <c r="E42" s="248">
        <f>Données!E42</f>
        <v>1.2</v>
      </c>
      <c r="F42" s="249">
        <f>Données!F42</f>
        <v>786129.75</v>
      </c>
      <c r="G42" s="249">
        <f>Données!G42</f>
        <v>129962.1</v>
      </c>
      <c r="H42" s="249">
        <f>Données!H42</f>
        <v>8281.4</v>
      </c>
      <c r="I42" s="249">
        <f>Données!I42</f>
        <v>3582</v>
      </c>
      <c r="J42" s="249">
        <f>Données!J42</f>
        <v>0</v>
      </c>
      <c r="K42" s="249">
        <f>Données!K42</f>
        <v>7241.04</v>
      </c>
      <c r="L42" s="249">
        <f>Données!L42</f>
        <v>-14899.31</v>
      </c>
      <c r="M42" s="249">
        <f>Données!M42</f>
        <v>0</v>
      </c>
      <c r="N42" s="249">
        <f>Données!N42</f>
        <v>1127.9383584433917</v>
      </c>
      <c r="O42" s="249">
        <f>Données!O42</f>
        <v>98710.25</v>
      </c>
      <c r="P42" s="249">
        <f>Données!P42</f>
        <v>10381.719999999999</v>
      </c>
      <c r="Q42" s="249">
        <f>Données!Q42</f>
        <v>804.45</v>
      </c>
      <c r="R42" s="249">
        <f>Données!R42</f>
        <v>-3.07</v>
      </c>
      <c r="S42" s="241"/>
      <c r="T42" s="233">
        <f t="shared" si="3"/>
        <v>817111.75317913631</v>
      </c>
      <c r="U42" s="250">
        <f t="shared" si="0"/>
        <v>82258.541666666672</v>
      </c>
      <c r="V42" s="250">
        <f t="shared" si="1"/>
        <v>11183.1</v>
      </c>
      <c r="W42" s="251">
        <f t="shared" si="4"/>
        <v>910553.39484580292</v>
      </c>
      <c r="X42" s="233">
        <f t="shared" si="5"/>
        <v>2162.8346670921683</v>
      </c>
      <c r="Y42" s="252">
        <f t="shared" si="2"/>
        <v>0.63085979213335219</v>
      </c>
    </row>
    <row r="43" spans="1:25" x14ac:dyDescent="0.25">
      <c r="A43" s="108">
        <f>Données!A43</f>
        <v>5475</v>
      </c>
      <c r="B43" s="116" t="str">
        <f>Données!B43</f>
        <v>Chavannes-le-Veyron</v>
      </c>
      <c r="C43" s="246">
        <f>Données!C43</f>
        <v>160</v>
      </c>
      <c r="D43" s="247">
        <f>Données!D43</f>
        <v>77</v>
      </c>
      <c r="E43" s="248">
        <f>Données!E43</f>
        <v>1</v>
      </c>
      <c r="F43" s="249">
        <f>Données!F43</f>
        <v>284720.07</v>
      </c>
      <c r="G43" s="249">
        <f>Données!G43</f>
        <v>49030.68</v>
      </c>
      <c r="H43" s="249">
        <f>Données!H43</f>
        <v>1415.5</v>
      </c>
      <c r="I43" s="249">
        <f>Données!I43</f>
        <v>768.05</v>
      </c>
      <c r="J43" s="249">
        <f>Données!J43</f>
        <v>0</v>
      </c>
      <c r="K43" s="249">
        <f>Données!K43</f>
        <v>0</v>
      </c>
      <c r="L43" s="249">
        <f>Données!L43</f>
        <v>-140.56</v>
      </c>
      <c r="M43" s="249">
        <f>Données!M43</f>
        <v>0</v>
      </c>
      <c r="N43" s="249">
        <f>Données!N43</f>
        <v>207.60572876064774</v>
      </c>
      <c r="O43" s="249">
        <f>Données!O43</f>
        <v>29438.3</v>
      </c>
      <c r="P43" s="249">
        <f>Données!P43</f>
        <v>5218.5200000000004</v>
      </c>
      <c r="Q43" s="249">
        <f>Données!Q43</f>
        <v>0</v>
      </c>
      <c r="R43" s="249">
        <f>Données!R43</f>
        <v>0</v>
      </c>
      <c r="S43" s="241"/>
      <c r="T43" s="233">
        <f t="shared" si="3"/>
        <v>294093.47461729281</v>
      </c>
      <c r="U43" s="250">
        <f t="shared" si="0"/>
        <v>29438.3</v>
      </c>
      <c r="V43" s="250">
        <f t="shared" si="1"/>
        <v>5218.5200000000004</v>
      </c>
      <c r="W43" s="251">
        <f t="shared" si="4"/>
        <v>328750.29461729282</v>
      </c>
      <c r="X43" s="233">
        <f t="shared" si="5"/>
        <v>2054.6893413580801</v>
      </c>
      <c r="Y43" s="252">
        <f t="shared" si="2"/>
        <v>0.59931575469450105</v>
      </c>
    </row>
    <row r="44" spans="1:25" x14ac:dyDescent="0.25">
      <c r="A44" s="108">
        <f>Données!A44</f>
        <v>5476</v>
      </c>
      <c r="B44" s="116" t="str">
        <f>Données!B44</f>
        <v>Chevilly</v>
      </c>
      <c r="C44" s="246">
        <f>Données!C44</f>
        <v>345</v>
      </c>
      <c r="D44" s="247">
        <f>Données!D44</f>
        <v>70</v>
      </c>
      <c r="E44" s="248">
        <f>Données!E44</f>
        <v>1</v>
      </c>
      <c r="F44" s="249">
        <f>Données!F44</f>
        <v>617941.19999999995</v>
      </c>
      <c r="G44" s="249">
        <f>Données!G44</f>
        <v>95044.86</v>
      </c>
      <c r="H44" s="249">
        <f>Données!H44</f>
        <v>13878.15</v>
      </c>
      <c r="I44" s="249">
        <f>Données!I44</f>
        <v>1222.4000000000001</v>
      </c>
      <c r="J44" s="249">
        <f>Données!J44</f>
        <v>0</v>
      </c>
      <c r="K44" s="249">
        <f>Données!K44</f>
        <v>261.27999999999997</v>
      </c>
      <c r="L44" s="249">
        <f>Données!L44</f>
        <v>-1550.21</v>
      </c>
      <c r="M44" s="249">
        <f>Données!M44</f>
        <v>0</v>
      </c>
      <c r="N44" s="249">
        <f>Données!N44</f>
        <v>1435.7173810705497</v>
      </c>
      <c r="O44" s="249">
        <f>Données!O44</f>
        <v>66742.5</v>
      </c>
      <c r="P44" s="249">
        <f>Données!P44</f>
        <v>11141.53</v>
      </c>
      <c r="Q44" s="249">
        <f>Données!Q44</f>
        <v>0</v>
      </c>
      <c r="R44" s="249">
        <f>Données!R44</f>
        <v>-180.55</v>
      </c>
      <c r="S44" s="241"/>
      <c r="T44" s="233">
        <f t="shared" si="3"/>
        <v>701144.68938808457</v>
      </c>
      <c r="U44" s="250">
        <f t="shared" si="0"/>
        <v>66742.5</v>
      </c>
      <c r="V44" s="250">
        <f t="shared" si="1"/>
        <v>10960.980000000001</v>
      </c>
      <c r="W44" s="251">
        <f t="shared" si="4"/>
        <v>778848.16938808456</v>
      </c>
      <c r="X44" s="233">
        <f t="shared" si="5"/>
        <v>2257.530925762564</v>
      </c>
      <c r="Y44" s="252">
        <f t="shared" si="2"/>
        <v>0.65848097972090358</v>
      </c>
    </row>
    <row r="45" spans="1:25" x14ac:dyDescent="0.25">
      <c r="A45" s="108">
        <f>Données!A45</f>
        <v>5477</v>
      </c>
      <c r="B45" s="116" t="str">
        <f>Données!B45</f>
        <v>Cossonay</v>
      </c>
      <c r="C45" s="246">
        <f>Données!C45</f>
        <v>4974</v>
      </c>
      <c r="D45" s="247">
        <f>Données!D45</f>
        <v>66</v>
      </c>
      <c r="E45" s="248">
        <f>Données!E45</f>
        <v>1</v>
      </c>
      <c r="F45" s="249">
        <f>Données!F45</f>
        <v>8532174.0999999996</v>
      </c>
      <c r="G45" s="249">
        <f>Données!G45</f>
        <v>1166867.8600000001</v>
      </c>
      <c r="H45" s="249">
        <f>Données!H45</f>
        <v>258979.4</v>
      </c>
      <c r="I45" s="249">
        <f>Données!I45</f>
        <v>8769.2999999999993</v>
      </c>
      <c r="J45" s="249">
        <f>Données!J45</f>
        <v>0</v>
      </c>
      <c r="K45" s="249">
        <f>Données!K45</f>
        <v>117087.57</v>
      </c>
      <c r="L45" s="249">
        <f>Données!L45</f>
        <v>-1365218.58</v>
      </c>
      <c r="M45" s="249">
        <f>Données!M45</f>
        <v>0</v>
      </c>
      <c r="N45" s="249">
        <f>Données!N45</f>
        <v>25456.785504438201</v>
      </c>
      <c r="O45" s="249">
        <f>Données!O45</f>
        <v>947098.05</v>
      </c>
      <c r="P45" s="249">
        <f>Données!P45</f>
        <v>299310.48</v>
      </c>
      <c r="Q45" s="249">
        <f>Données!Q45</f>
        <v>55218</v>
      </c>
      <c r="R45" s="249">
        <f>Données!R45</f>
        <v>-2734.55</v>
      </c>
      <c r="S45" s="241"/>
      <c r="T45" s="233">
        <f t="shared" si="3"/>
        <v>8929087.7966509014</v>
      </c>
      <c r="U45" s="250">
        <f t="shared" si="0"/>
        <v>947098.05</v>
      </c>
      <c r="V45" s="250">
        <f t="shared" si="1"/>
        <v>351793.93</v>
      </c>
      <c r="W45" s="251">
        <f t="shared" si="4"/>
        <v>10227979.776650902</v>
      </c>
      <c r="X45" s="233">
        <f t="shared" si="5"/>
        <v>2056.2886563431648</v>
      </c>
      <c r="Y45" s="252">
        <f t="shared" si="2"/>
        <v>0.59978224597762941</v>
      </c>
    </row>
    <row r="46" spans="1:25" x14ac:dyDescent="0.25">
      <c r="A46" s="108">
        <f>Données!A46</f>
        <v>5479</v>
      </c>
      <c r="B46" s="116" t="str">
        <f>Données!B46</f>
        <v>Cuarnens</v>
      </c>
      <c r="C46" s="246">
        <f>Données!C46</f>
        <v>557</v>
      </c>
      <c r="D46" s="247">
        <f>Données!D46</f>
        <v>76</v>
      </c>
      <c r="E46" s="248">
        <f>Données!E46</f>
        <v>1</v>
      </c>
      <c r="F46" s="249">
        <f>Données!F46</f>
        <v>1267625.3400000001</v>
      </c>
      <c r="G46" s="249">
        <f>Données!G46</f>
        <v>244396.87</v>
      </c>
      <c r="H46" s="249">
        <f>Données!H46</f>
        <v>18375.099999999999</v>
      </c>
      <c r="I46" s="249">
        <f>Données!I46</f>
        <v>1563.8</v>
      </c>
      <c r="J46" s="249">
        <f>Données!J46</f>
        <v>0</v>
      </c>
      <c r="K46" s="249">
        <f>Données!K46</f>
        <v>11294.24</v>
      </c>
      <c r="L46" s="249">
        <f>Données!L46</f>
        <v>-84950.29</v>
      </c>
      <c r="M46" s="249">
        <f>Données!M46</f>
        <v>0</v>
      </c>
      <c r="N46" s="249">
        <f>Données!N46</f>
        <v>1895.733949387776</v>
      </c>
      <c r="O46" s="249">
        <f>Données!O46</f>
        <v>102744.35</v>
      </c>
      <c r="P46" s="249">
        <f>Données!P46</f>
        <v>9646.08</v>
      </c>
      <c r="Q46" s="249">
        <f>Données!Q46</f>
        <v>1643</v>
      </c>
      <c r="R46" s="249">
        <f>Données!R46</f>
        <v>-1118.7</v>
      </c>
      <c r="S46" s="241"/>
      <c r="T46" s="233">
        <f t="shared" si="3"/>
        <v>1294893.601166324</v>
      </c>
      <c r="U46" s="250">
        <f t="shared" si="0"/>
        <v>102744.35</v>
      </c>
      <c r="V46" s="250">
        <f t="shared" si="1"/>
        <v>10170.379999999999</v>
      </c>
      <c r="W46" s="251">
        <f t="shared" si="4"/>
        <v>1407808.331166324</v>
      </c>
      <c r="X46" s="233">
        <f t="shared" si="5"/>
        <v>2527.4835388982478</v>
      </c>
      <c r="Y46" s="252">
        <f t="shared" si="2"/>
        <v>0.7372212791990862</v>
      </c>
    </row>
    <row r="47" spans="1:25" x14ac:dyDescent="0.25">
      <c r="A47" s="108">
        <f>Données!A47</f>
        <v>5480</v>
      </c>
      <c r="B47" s="116" t="str">
        <f>Données!B47</f>
        <v>Daillens</v>
      </c>
      <c r="C47" s="246">
        <f>Données!C47</f>
        <v>1113</v>
      </c>
      <c r="D47" s="247">
        <f>Données!D47</f>
        <v>66</v>
      </c>
      <c r="E47" s="248">
        <f>Données!E47</f>
        <v>1.2</v>
      </c>
      <c r="F47" s="249">
        <f>Données!F47</f>
        <v>2296710.77</v>
      </c>
      <c r="G47" s="249">
        <f>Données!G47</f>
        <v>328591.84999999998</v>
      </c>
      <c r="H47" s="249">
        <f>Données!H47</f>
        <v>98989.6</v>
      </c>
      <c r="I47" s="249">
        <f>Données!I47</f>
        <v>8447.1</v>
      </c>
      <c r="J47" s="249">
        <f>Données!J47</f>
        <v>0</v>
      </c>
      <c r="K47" s="249">
        <f>Données!K47</f>
        <v>1745.29</v>
      </c>
      <c r="L47" s="249">
        <f>Données!L47</f>
        <v>-12903.95</v>
      </c>
      <c r="M47" s="249">
        <f>Données!M47</f>
        <v>0</v>
      </c>
      <c r="N47" s="249">
        <f>Données!N47</f>
        <v>10214.776121059322</v>
      </c>
      <c r="O47" s="249">
        <f>Données!O47</f>
        <v>425937.05</v>
      </c>
      <c r="P47" s="249">
        <f>Données!P47</f>
        <v>59440.05</v>
      </c>
      <c r="Q47" s="249">
        <f>Données!Q47</f>
        <v>12472.7</v>
      </c>
      <c r="R47" s="249">
        <f>Données!R47</f>
        <v>-1229.05</v>
      </c>
      <c r="S47" s="241"/>
      <c r="T47" s="233">
        <f t="shared" si="3"/>
        <v>2789583.3125657602</v>
      </c>
      <c r="U47" s="250">
        <f t="shared" si="0"/>
        <v>354947.54166666669</v>
      </c>
      <c r="V47" s="250">
        <f t="shared" si="1"/>
        <v>70683.7</v>
      </c>
      <c r="W47" s="251">
        <f t="shared" si="4"/>
        <v>3215214.5542324269</v>
      </c>
      <c r="X47" s="233">
        <f t="shared" si="5"/>
        <v>2888.7821691216773</v>
      </c>
      <c r="Y47" s="252">
        <f t="shared" si="2"/>
        <v>0.84260556133067288</v>
      </c>
    </row>
    <row r="48" spans="1:25" x14ac:dyDescent="0.25">
      <c r="A48" s="108">
        <f>Données!A48</f>
        <v>5481</v>
      </c>
      <c r="B48" s="116" t="str">
        <f>Données!B48</f>
        <v>Dizy</v>
      </c>
      <c r="C48" s="246">
        <f>Données!C48</f>
        <v>239</v>
      </c>
      <c r="D48" s="247">
        <f>Données!D48</f>
        <v>75</v>
      </c>
      <c r="E48" s="248">
        <f>Données!E48</f>
        <v>1</v>
      </c>
      <c r="F48" s="249">
        <f>Données!F48</f>
        <v>477244.95</v>
      </c>
      <c r="G48" s="249">
        <f>Données!G48</f>
        <v>67127.16</v>
      </c>
      <c r="H48" s="249">
        <f>Données!H48</f>
        <v>44664</v>
      </c>
      <c r="I48" s="249">
        <f>Données!I48</f>
        <v>1124.55</v>
      </c>
      <c r="J48" s="249">
        <f>Données!J48</f>
        <v>0</v>
      </c>
      <c r="K48" s="249">
        <f>Données!K48</f>
        <v>0</v>
      </c>
      <c r="L48" s="249">
        <f>Données!L48</f>
        <v>-2585.0500000000002</v>
      </c>
      <c r="M48" s="249">
        <f>Données!M48</f>
        <v>0</v>
      </c>
      <c r="N48" s="249">
        <f>Données!N48</f>
        <v>4353.4452115332169</v>
      </c>
      <c r="O48" s="249">
        <f>Données!O48</f>
        <v>42720.1</v>
      </c>
      <c r="P48" s="249">
        <f>Données!P48</f>
        <v>8682.3799999999992</v>
      </c>
      <c r="Q48" s="249">
        <f>Données!Q48</f>
        <v>0</v>
      </c>
      <c r="R48" s="249">
        <f>Données!R48</f>
        <v>0</v>
      </c>
      <c r="S48" s="241"/>
      <c r="T48" s="233">
        <f t="shared" si="3"/>
        <v>531916.53579569375</v>
      </c>
      <c r="U48" s="250">
        <f t="shared" si="0"/>
        <v>42720.1</v>
      </c>
      <c r="V48" s="250">
        <f t="shared" si="1"/>
        <v>8682.3799999999992</v>
      </c>
      <c r="W48" s="251">
        <f t="shared" si="4"/>
        <v>583319.01579569373</v>
      </c>
      <c r="X48" s="233">
        <f t="shared" si="5"/>
        <v>2440.6653380572961</v>
      </c>
      <c r="Y48" s="252">
        <f t="shared" si="2"/>
        <v>0.71189797873176464</v>
      </c>
    </row>
    <row r="49" spans="1:25" x14ac:dyDescent="0.25">
      <c r="A49" s="108">
        <f>Données!A49</f>
        <v>5482</v>
      </c>
      <c r="B49" s="116" t="str">
        <f>Données!B49</f>
        <v>Eclépens</v>
      </c>
      <c r="C49" s="246">
        <f>Données!C49</f>
        <v>1202</v>
      </c>
      <c r="D49" s="247">
        <f>Données!D49</f>
        <v>46</v>
      </c>
      <c r="E49" s="248">
        <f>Données!E49</f>
        <v>1</v>
      </c>
      <c r="F49" s="249">
        <f>Données!F49</f>
        <v>1291231.5</v>
      </c>
      <c r="G49" s="249">
        <f>Données!G49</f>
        <v>179885.5</v>
      </c>
      <c r="H49" s="249">
        <f>Données!H49</f>
        <v>336754.5</v>
      </c>
      <c r="I49" s="249">
        <f>Données!I49</f>
        <v>23532.95</v>
      </c>
      <c r="J49" s="249">
        <f>Données!J49</f>
        <v>0</v>
      </c>
      <c r="K49" s="249">
        <f>Données!K49</f>
        <v>3580.53</v>
      </c>
      <c r="L49" s="249">
        <f>Données!L49</f>
        <v>-10634.84</v>
      </c>
      <c r="M49" s="249">
        <f>Données!M49</f>
        <v>0</v>
      </c>
      <c r="N49" s="249">
        <f>Données!N49</f>
        <v>34255.106876675789</v>
      </c>
      <c r="O49" s="249">
        <f>Données!O49</f>
        <v>468329.8</v>
      </c>
      <c r="P49" s="249">
        <f>Données!P49</f>
        <v>69342.19</v>
      </c>
      <c r="Q49" s="249">
        <f>Données!Q49</f>
        <v>27380.799999999999</v>
      </c>
      <c r="R49" s="249">
        <f>Données!R49</f>
        <v>-146.65</v>
      </c>
      <c r="S49" s="241"/>
      <c r="T49" s="233">
        <f t="shared" si="3"/>
        <v>2723105.2280587903</v>
      </c>
      <c r="U49" s="250">
        <f t="shared" si="0"/>
        <v>468329.8</v>
      </c>
      <c r="V49" s="250">
        <f t="shared" si="1"/>
        <v>96576.340000000011</v>
      </c>
      <c r="W49" s="251">
        <f t="shared" si="4"/>
        <v>3288011.36805879</v>
      </c>
      <c r="X49" s="233">
        <f t="shared" si="5"/>
        <v>2735.4503893999918</v>
      </c>
      <c r="Y49" s="252">
        <f t="shared" si="2"/>
        <v>0.79788145173763148</v>
      </c>
    </row>
    <row r="50" spans="1:25" x14ac:dyDescent="0.25">
      <c r="A50" s="108">
        <f>Données!A50</f>
        <v>5483</v>
      </c>
      <c r="B50" s="116" t="str">
        <f>Données!B50</f>
        <v>Ferreyres</v>
      </c>
      <c r="C50" s="246">
        <f>Données!C50</f>
        <v>308</v>
      </c>
      <c r="D50" s="247">
        <f>Données!D50</f>
        <v>76</v>
      </c>
      <c r="E50" s="248">
        <f>Données!E50</f>
        <v>1</v>
      </c>
      <c r="F50" s="249">
        <f>Données!F50</f>
        <v>626680.54</v>
      </c>
      <c r="G50" s="249">
        <f>Données!G50</f>
        <v>85421.53</v>
      </c>
      <c r="H50" s="249">
        <f>Données!H50</f>
        <v>-788.65</v>
      </c>
      <c r="I50" s="249">
        <f>Données!I50</f>
        <v>3092.05</v>
      </c>
      <c r="J50" s="249">
        <f>Données!J50</f>
        <v>0</v>
      </c>
      <c r="K50" s="249">
        <f>Données!K50</f>
        <v>0</v>
      </c>
      <c r="L50" s="249">
        <f>Données!L50</f>
        <v>-10315.370000000001</v>
      </c>
      <c r="M50" s="249">
        <f>Données!M50</f>
        <v>0</v>
      </c>
      <c r="N50" s="249">
        <f>Données!N50</f>
        <v>219.00072616943783</v>
      </c>
      <c r="O50" s="249">
        <f>Données!O50</f>
        <v>61049.3</v>
      </c>
      <c r="P50" s="249">
        <f>Données!P50</f>
        <v>3155.6</v>
      </c>
      <c r="Q50" s="249">
        <f>Données!Q50</f>
        <v>175.5</v>
      </c>
      <c r="R50" s="249">
        <f>Données!R50</f>
        <v>-1146.45</v>
      </c>
      <c r="S50" s="241"/>
      <c r="T50" s="233">
        <f t="shared" si="3"/>
        <v>624575.29920034832</v>
      </c>
      <c r="U50" s="250">
        <f t="shared" si="0"/>
        <v>61049.3</v>
      </c>
      <c r="V50" s="250">
        <f t="shared" si="1"/>
        <v>2184.6499999999996</v>
      </c>
      <c r="W50" s="251">
        <f t="shared" si="4"/>
        <v>687809.24920034839</v>
      </c>
      <c r="X50" s="233">
        <f t="shared" si="5"/>
        <v>2233.1469129881443</v>
      </c>
      <c r="Y50" s="252">
        <f t="shared" si="2"/>
        <v>0.65136860378930772</v>
      </c>
    </row>
    <row r="51" spans="1:25" x14ac:dyDescent="0.25">
      <c r="A51" s="108">
        <f>Données!A51</f>
        <v>5484</v>
      </c>
      <c r="B51" s="116" t="str">
        <f>Données!B51</f>
        <v>Gollion</v>
      </c>
      <c r="C51" s="246">
        <f>Données!C51</f>
        <v>1091</v>
      </c>
      <c r="D51" s="247">
        <f>Données!D51</f>
        <v>74</v>
      </c>
      <c r="E51" s="248">
        <f>Données!E51</f>
        <v>1</v>
      </c>
      <c r="F51" s="249">
        <f>Données!F51</f>
        <v>1909773.21</v>
      </c>
      <c r="G51" s="249">
        <f>Données!G51</f>
        <v>280392.2</v>
      </c>
      <c r="H51" s="249">
        <f>Données!H51</f>
        <v>49253.35</v>
      </c>
      <c r="I51" s="249">
        <f>Données!I51</f>
        <v>2127.35</v>
      </c>
      <c r="J51" s="249">
        <f>Données!J51</f>
        <v>0</v>
      </c>
      <c r="K51" s="249">
        <f>Données!K51</f>
        <v>3400.12</v>
      </c>
      <c r="L51" s="249">
        <f>Données!L51</f>
        <v>-18132.189999999999</v>
      </c>
      <c r="M51" s="249">
        <f>Données!M51</f>
        <v>0</v>
      </c>
      <c r="N51" s="249">
        <f>Données!N51</f>
        <v>4885.130941692295</v>
      </c>
      <c r="O51" s="249">
        <f>Données!O51</f>
        <v>218990.9</v>
      </c>
      <c r="P51" s="249">
        <f>Données!P51</f>
        <v>30234.560000000001</v>
      </c>
      <c r="Q51" s="249">
        <f>Données!Q51</f>
        <v>5372.65</v>
      </c>
      <c r="R51" s="249">
        <f>Données!R51</f>
        <v>-555.9</v>
      </c>
      <c r="S51" s="241"/>
      <c r="T51" s="233">
        <f t="shared" si="3"/>
        <v>2032539.6629620967</v>
      </c>
      <c r="U51" s="250">
        <f t="shared" si="0"/>
        <v>218990.9</v>
      </c>
      <c r="V51" s="250">
        <f t="shared" si="1"/>
        <v>35051.31</v>
      </c>
      <c r="W51" s="251">
        <f t="shared" si="4"/>
        <v>2286581.8729620967</v>
      </c>
      <c r="X51" s="233">
        <f t="shared" si="5"/>
        <v>2095.8587286545339</v>
      </c>
      <c r="Y51" s="252">
        <f t="shared" si="2"/>
        <v>0.61132412107925882</v>
      </c>
    </row>
    <row r="52" spans="1:25" x14ac:dyDescent="0.25">
      <c r="A52" s="108">
        <f>Données!A52</f>
        <v>5485</v>
      </c>
      <c r="B52" s="116" t="str">
        <f>Données!B52</f>
        <v>Grancy</v>
      </c>
      <c r="C52" s="246">
        <f>Données!C52</f>
        <v>541</v>
      </c>
      <c r="D52" s="247">
        <f>Données!D52</f>
        <v>70</v>
      </c>
      <c r="E52" s="248">
        <f>Données!E52</f>
        <v>1</v>
      </c>
      <c r="F52" s="249">
        <f>Données!F52</f>
        <v>1395103.42</v>
      </c>
      <c r="G52" s="249">
        <f>Données!G52</f>
        <v>204458.68</v>
      </c>
      <c r="H52" s="249">
        <f>Données!H52</f>
        <v>-13404.65</v>
      </c>
      <c r="I52" s="249">
        <f>Données!I52</f>
        <v>6737.2</v>
      </c>
      <c r="J52" s="249">
        <f>Données!J52</f>
        <v>0</v>
      </c>
      <c r="K52" s="249">
        <f>Données!K52</f>
        <v>2325.12</v>
      </c>
      <c r="L52" s="249">
        <f>Données!L52</f>
        <v>-24266.74</v>
      </c>
      <c r="M52" s="249">
        <f>Données!M52</f>
        <v>0</v>
      </c>
      <c r="N52" s="249">
        <f>Données!N52</f>
        <v>-633.92219835826086</v>
      </c>
      <c r="O52" s="249">
        <f>Données!O52</f>
        <v>109544.85</v>
      </c>
      <c r="P52" s="249">
        <f>Données!P52</f>
        <v>23226.400000000001</v>
      </c>
      <c r="Q52" s="249">
        <f>Données!Q52</f>
        <v>2344.25</v>
      </c>
      <c r="R52" s="249">
        <f>Données!R52</f>
        <v>-1864.2</v>
      </c>
      <c r="S52" s="241"/>
      <c r="T52" s="233">
        <f t="shared" si="3"/>
        <v>1511906.6319113253</v>
      </c>
      <c r="U52" s="250">
        <f t="shared" si="0"/>
        <v>109544.85</v>
      </c>
      <c r="V52" s="250">
        <f t="shared" si="1"/>
        <v>23706.45</v>
      </c>
      <c r="W52" s="251">
        <f t="shared" si="4"/>
        <v>1645157.9319113253</v>
      </c>
      <c r="X52" s="233">
        <f t="shared" si="5"/>
        <v>3040.9573602797141</v>
      </c>
      <c r="Y52" s="252">
        <f t="shared" si="2"/>
        <v>0.88699231493809561</v>
      </c>
    </row>
    <row r="53" spans="1:25" x14ac:dyDescent="0.25">
      <c r="A53" s="108">
        <f>Données!A53</f>
        <v>5486</v>
      </c>
      <c r="B53" s="116" t="str">
        <f>Données!B53</f>
        <v>L'Isle</v>
      </c>
      <c r="C53" s="246">
        <f>Données!C53</f>
        <v>1106</v>
      </c>
      <c r="D53" s="247">
        <f>Données!D53</f>
        <v>75</v>
      </c>
      <c r="E53" s="248">
        <f>Données!E53</f>
        <v>1</v>
      </c>
      <c r="F53" s="249">
        <f>Données!F53</f>
        <v>2062250.37</v>
      </c>
      <c r="G53" s="249">
        <f>Données!G53</f>
        <v>319890.67</v>
      </c>
      <c r="H53" s="249">
        <f>Données!H53</f>
        <v>73145.649999999994</v>
      </c>
      <c r="I53" s="249">
        <f>Données!I53</f>
        <v>9941.4500000000007</v>
      </c>
      <c r="J53" s="249">
        <f>Données!J53</f>
        <v>0</v>
      </c>
      <c r="K53" s="249">
        <f>Données!K53</f>
        <v>5558.84</v>
      </c>
      <c r="L53" s="249">
        <f>Données!L53</f>
        <v>-26988.67</v>
      </c>
      <c r="M53" s="249">
        <f>Données!M53</f>
        <v>0</v>
      </c>
      <c r="N53" s="249">
        <f>Données!N53</f>
        <v>7899.685350053267</v>
      </c>
      <c r="O53" s="249">
        <f>Données!O53</f>
        <v>216489.5</v>
      </c>
      <c r="P53" s="249">
        <f>Données!P53</f>
        <v>52691.12</v>
      </c>
      <c r="Q53" s="249">
        <f>Données!Q53</f>
        <v>13408.65</v>
      </c>
      <c r="R53" s="249">
        <f>Données!R53</f>
        <v>-214.15</v>
      </c>
      <c r="S53" s="241"/>
      <c r="T53" s="233">
        <f t="shared" si="3"/>
        <v>2203133.4549675239</v>
      </c>
      <c r="U53" s="250">
        <f t="shared" si="0"/>
        <v>216489.5</v>
      </c>
      <c r="V53" s="250">
        <f t="shared" si="1"/>
        <v>65885.62000000001</v>
      </c>
      <c r="W53" s="251">
        <f t="shared" si="4"/>
        <v>2485508.574967524</v>
      </c>
      <c r="X53" s="233">
        <f t="shared" si="5"/>
        <v>2247.2952757391718</v>
      </c>
      <c r="Y53" s="252">
        <f t="shared" si="2"/>
        <v>0.65549542555703011</v>
      </c>
    </row>
    <row r="54" spans="1:25" x14ac:dyDescent="0.25">
      <c r="A54" s="108">
        <f>Données!A54</f>
        <v>5487</v>
      </c>
      <c r="B54" s="116" t="str">
        <f>Données!B54</f>
        <v>Lussery-Villars</v>
      </c>
      <c r="C54" s="246">
        <f>Données!C54</f>
        <v>469</v>
      </c>
      <c r="D54" s="247">
        <f>Données!D54</f>
        <v>75</v>
      </c>
      <c r="E54" s="248">
        <f>Données!E54</f>
        <v>1</v>
      </c>
      <c r="F54" s="249">
        <f>Données!F54</f>
        <v>939471.16</v>
      </c>
      <c r="G54" s="249">
        <f>Données!G54</f>
        <v>168362.26</v>
      </c>
      <c r="H54" s="249">
        <f>Données!H54</f>
        <v>8545.7999999999993</v>
      </c>
      <c r="I54" s="249">
        <f>Données!I54</f>
        <v>1043.05</v>
      </c>
      <c r="J54" s="249">
        <f>Données!J54</f>
        <v>0</v>
      </c>
      <c r="K54" s="249">
        <f>Données!K54</f>
        <v>0</v>
      </c>
      <c r="L54" s="249">
        <f>Données!L54</f>
        <v>-10289.620000000001</v>
      </c>
      <c r="M54" s="249">
        <f>Données!M54</f>
        <v>0</v>
      </c>
      <c r="N54" s="249">
        <f>Données!N54</f>
        <v>911.6806082876675</v>
      </c>
      <c r="O54" s="249">
        <f>Données!O54</f>
        <v>84284.15</v>
      </c>
      <c r="P54" s="249">
        <f>Données!P54</f>
        <v>17574.64</v>
      </c>
      <c r="Q54" s="249">
        <f>Données!Q54</f>
        <v>1070</v>
      </c>
      <c r="R54" s="249">
        <f>Données!R54</f>
        <v>0</v>
      </c>
      <c r="S54" s="241"/>
      <c r="T54" s="233">
        <f t="shared" si="3"/>
        <v>995705.64522228763</v>
      </c>
      <c r="U54" s="250">
        <f t="shared" si="0"/>
        <v>84284.15</v>
      </c>
      <c r="V54" s="250">
        <f t="shared" si="1"/>
        <v>18644.64</v>
      </c>
      <c r="W54" s="251">
        <f t="shared" si="4"/>
        <v>1098634.4352222874</v>
      </c>
      <c r="X54" s="233">
        <f t="shared" si="5"/>
        <v>2342.504126273534</v>
      </c>
      <c r="Y54" s="252">
        <f t="shared" si="2"/>
        <v>0.68326612692927857</v>
      </c>
    </row>
    <row r="55" spans="1:25" x14ac:dyDescent="0.25">
      <c r="A55" s="108">
        <f>Données!A55</f>
        <v>5488</v>
      </c>
      <c r="B55" s="116" t="str">
        <f>Données!B55</f>
        <v>Mauraz</v>
      </c>
      <c r="C55" s="246">
        <f>Données!C55</f>
        <v>74</v>
      </c>
      <c r="D55" s="247">
        <f>Données!D55</f>
        <v>75</v>
      </c>
      <c r="E55" s="248">
        <f>Données!E55</f>
        <v>1</v>
      </c>
      <c r="F55" s="249">
        <f>Données!F55</f>
        <v>125476.74</v>
      </c>
      <c r="G55" s="249">
        <f>Données!G55</f>
        <v>15119.25</v>
      </c>
      <c r="H55" s="249">
        <f>Données!H55</f>
        <v>27.25</v>
      </c>
      <c r="I55" s="249">
        <f>Données!I55</f>
        <v>993.25</v>
      </c>
      <c r="J55" s="249">
        <f>Données!J55</f>
        <v>0</v>
      </c>
      <c r="K55" s="249">
        <f>Données!K55</f>
        <v>0</v>
      </c>
      <c r="L55" s="249">
        <f>Données!L55</f>
        <v>-6.43</v>
      </c>
      <c r="M55" s="249">
        <f>Données!M55</f>
        <v>0</v>
      </c>
      <c r="N55" s="249">
        <f>Données!N55</f>
        <v>97.026239930498946</v>
      </c>
      <c r="O55" s="249">
        <f>Données!O55</f>
        <v>12105</v>
      </c>
      <c r="P55" s="249">
        <f>Données!P55</f>
        <v>2761.42</v>
      </c>
      <c r="Q55" s="249">
        <f>Données!Q55</f>
        <v>0</v>
      </c>
      <c r="R55" s="249">
        <f>Données!R55</f>
        <v>0</v>
      </c>
      <c r="S55" s="241"/>
      <c r="T55" s="233">
        <f t="shared" si="3"/>
        <v>127340.16305975856</v>
      </c>
      <c r="U55" s="250">
        <f t="shared" si="0"/>
        <v>12105</v>
      </c>
      <c r="V55" s="250">
        <f t="shared" si="1"/>
        <v>2761.42</v>
      </c>
      <c r="W55" s="251">
        <f t="shared" si="4"/>
        <v>142206.58305975856</v>
      </c>
      <c r="X55" s="233">
        <f t="shared" si="5"/>
        <v>1921.7105818886291</v>
      </c>
      <c r="Y55" s="252">
        <f t="shared" si="2"/>
        <v>0.56052825335033385</v>
      </c>
    </row>
    <row r="56" spans="1:25" x14ac:dyDescent="0.25">
      <c r="A56" s="108">
        <f>Données!A56</f>
        <v>5489</v>
      </c>
      <c r="B56" s="116" t="str">
        <f>Données!B56</f>
        <v>Mex</v>
      </c>
      <c r="C56" s="246">
        <f>Données!C56</f>
        <v>828</v>
      </c>
      <c r="D56" s="247">
        <f>Données!D56</f>
        <v>59.5</v>
      </c>
      <c r="E56" s="248">
        <f>Données!E56</f>
        <v>1</v>
      </c>
      <c r="F56" s="249">
        <f>Données!F56</f>
        <v>2495715.33</v>
      </c>
      <c r="G56" s="249">
        <f>Données!G56</f>
        <v>688672.77</v>
      </c>
      <c r="H56" s="249">
        <f>Données!H56</f>
        <v>1394118.35</v>
      </c>
      <c r="I56" s="249">
        <f>Données!I56</f>
        <v>18538.5</v>
      </c>
      <c r="J56" s="249">
        <f>Données!J56</f>
        <v>0</v>
      </c>
      <c r="K56" s="249">
        <f>Données!K56</f>
        <v>3112.47</v>
      </c>
      <c r="L56" s="249">
        <f>Données!L56</f>
        <v>-93928.21</v>
      </c>
      <c r="M56" s="249">
        <f>Données!M56</f>
        <v>0</v>
      </c>
      <c r="N56" s="249">
        <f>Données!N56</f>
        <v>134311.39879232031</v>
      </c>
      <c r="O56" s="249">
        <f>Données!O56</f>
        <v>312468.90000000002</v>
      </c>
      <c r="P56" s="249">
        <f>Données!P56</f>
        <v>111783.06</v>
      </c>
      <c r="Q56" s="249">
        <f>Données!Q56</f>
        <v>9592.5</v>
      </c>
      <c r="R56" s="249">
        <f>Données!R56</f>
        <v>-22131.63</v>
      </c>
      <c r="S56" s="241"/>
      <c r="T56" s="233">
        <f t="shared" si="3"/>
        <v>5256379.4478458297</v>
      </c>
      <c r="U56" s="250">
        <f t="shared" si="0"/>
        <v>312468.90000000002</v>
      </c>
      <c r="V56" s="250">
        <f t="shared" si="1"/>
        <v>99243.93</v>
      </c>
      <c r="W56" s="251">
        <f t="shared" si="4"/>
        <v>5668092.2778458297</v>
      </c>
      <c r="X56" s="233">
        <f t="shared" si="5"/>
        <v>6845.5220746930308</v>
      </c>
      <c r="Y56" s="252">
        <f t="shared" si="2"/>
        <v>1.9967150974564463</v>
      </c>
    </row>
    <row r="57" spans="1:25" x14ac:dyDescent="0.25">
      <c r="A57" s="108">
        <f>Données!A57</f>
        <v>5490</v>
      </c>
      <c r="B57" s="116" t="str">
        <f>Données!B57</f>
        <v>Moiry</v>
      </c>
      <c r="C57" s="246">
        <f>Données!C57</f>
        <v>295</v>
      </c>
      <c r="D57" s="247">
        <f>Données!D57</f>
        <v>76</v>
      </c>
      <c r="E57" s="248">
        <f>Données!E57</f>
        <v>1</v>
      </c>
      <c r="F57" s="249">
        <f>Données!F57</f>
        <v>484786.49</v>
      </c>
      <c r="G57" s="249">
        <f>Données!G57</f>
        <v>85487.59</v>
      </c>
      <c r="H57" s="249">
        <f>Données!H57</f>
        <v>7278.5</v>
      </c>
      <c r="I57" s="249">
        <f>Données!I57</f>
        <v>1033.8499999999999</v>
      </c>
      <c r="J57" s="249">
        <f>Données!J57</f>
        <v>0</v>
      </c>
      <c r="K57" s="249">
        <f>Données!K57</f>
        <v>8307.6200000000008</v>
      </c>
      <c r="L57" s="249">
        <f>Données!L57</f>
        <v>-26655.91</v>
      </c>
      <c r="M57" s="249">
        <f>Données!M57</f>
        <v>0</v>
      </c>
      <c r="N57" s="249">
        <f>Données!N57</f>
        <v>790.31461586112982</v>
      </c>
      <c r="O57" s="249">
        <f>Données!O57</f>
        <v>50467.4</v>
      </c>
      <c r="P57" s="249">
        <f>Données!P57</f>
        <v>8090.01</v>
      </c>
      <c r="Q57" s="249">
        <f>Données!Q57</f>
        <v>0</v>
      </c>
      <c r="R57" s="249">
        <f>Données!R57</f>
        <v>-283.2</v>
      </c>
      <c r="S57" s="241"/>
      <c r="T57" s="233">
        <f t="shared" si="3"/>
        <v>497515.24513928615</v>
      </c>
      <c r="U57" s="250">
        <f t="shared" si="0"/>
        <v>50467.4</v>
      </c>
      <c r="V57" s="250">
        <f t="shared" si="1"/>
        <v>7806.81</v>
      </c>
      <c r="W57" s="251">
        <f t="shared" si="4"/>
        <v>555789.45513928623</v>
      </c>
      <c r="X57" s="233">
        <f t="shared" si="5"/>
        <v>1884.0320513196143</v>
      </c>
      <c r="Y57" s="252">
        <f t="shared" si="2"/>
        <v>0.54953810679668336</v>
      </c>
    </row>
    <row r="58" spans="1:25" x14ac:dyDescent="0.25">
      <c r="A58" s="108">
        <f>Données!A58</f>
        <v>5491</v>
      </c>
      <c r="B58" s="116" t="str">
        <f>Données!B58</f>
        <v>Mont-la-Ville</v>
      </c>
      <c r="C58" s="246">
        <f>Données!C58</f>
        <v>504</v>
      </c>
      <c r="D58" s="247">
        <f>Données!D58</f>
        <v>76</v>
      </c>
      <c r="E58" s="248">
        <f>Données!E58</f>
        <v>1</v>
      </c>
      <c r="F58" s="249">
        <f>Données!F58</f>
        <v>634052.24</v>
      </c>
      <c r="G58" s="249">
        <f>Données!G58</f>
        <v>118564.32</v>
      </c>
      <c r="H58" s="249">
        <f>Données!H58</f>
        <v>-7329.5</v>
      </c>
      <c r="I58" s="249">
        <f>Données!I58</f>
        <v>3830.2</v>
      </c>
      <c r="J58" s="249">
        <f>Données!J58</f>
        <v>0</v>
      </c>
      <c r="K58" s="249">
        <f>Données!K58</f>
        <v>2296.69</v>
      </c>
      <c r="L58" s="249">
        <f>Données!L58</f>
        <v>-42954.87</v>
      </c>
      <c r="M58" s="249">
        <f>Données!M58</f>
        <v>0</v>
      </c>
      <c r="N58" s="249">
        <f>Données!N58</f>
        <v>-332.70349964605094</v>
      </c>
      <c r="O58" s="249">
        <f>Données!O58</f>
        <v>97397.4</v>
      </c>
      <c r="P58" s="249">
        <f>Données!P58</f>
        <v>14504.67</v>
      </c>
      <c r="Q58" s="249">
        <f>Données!Q58</f>
        <v>682.5</v>
      </c>
      <c r="R58" s="249">
        <f>Données!R58</f>
        <v>0</v>
      </c>
      <c r="S58" s="241"/>
      <c r="T58" s="233">
        <f t="shared" si="3"/>
        <v>627960.42677619995</v>
      </c>
      <c r="U58" s="250">
        <f t="shared" si="0"/>
        <v>97397.4</v>
      </c>
      <c r="V58" s="250">
        <f t="shared" si="1"/>
        <v>15187.17</v>
      </c>
      <c r="W58" s="251">
        <f t="shared" si="4"/>
        <v>740544.99677620002</v>
      </c>
      <c r="X58" s="233">
        <f t="shared" si="5"/>
        <v>1469.3353110638889</v>
      </c>
      <c r="Y58" s="252">
        <f t="shared" si="2"/>
        <v>0.42857856081907253</v>
      </c>
    </row>
    <row r="59" spans="1:25" x14ac:dyDescent="0.25">
      <c r="A59" s="108">
        <f>Données!A59</f>
        <v>5492</v>
      </c>
      <c r="B59" s="116" t="str">
        <f>Données!B59</f>
        <v>Montricher</v>
      </c>
      <c r="C59" s="246">
        <f>Données!C59</f>
        <v>947</v>
      </c>
      <c r="D59" s="247">
        <f>Données!D59</f>
        <v>64</v>
      </c>
      <c r="E59" s="248">
        <f>Données!E59</f>
        <v>0.3</v>
      </c>
      <c r="F59" s="249">
        <f>Données!F59</f>
        <v>7167480.5999999996</v>
      </c>
      <c r="G59" s="249">
        <f>Données!G59</f>
        <v>4450338.92</v>
      </c>
      <c r="H59" s="249">
        <f>Données!H59</f>
        <v>5724</v>
      </c>
      <c r="I59" s="249">
        <f>Données!I59</f>
        <v>3406.65</v>
      </c>
      <c r="J59" s="249">
        <f>Données!J59</f>
        <v>0</v>
      </c>
      <c r="K59" s="249">
        <f>Données!K59</f>
        <v>2205.7600000000002</v>
      </c>
      <c r="L59" s="249">
        <f>Données!L59</f>
        <v>-45740.84</v>
      </c>
      <c r="M59" s="249">
        <f>Données!M59</f>
        <v>0</v>
      </c>
      <c r="N59" s="249">
        <f>Données!N59</f>
        <v>868.11625440608543</v>
      </c>
      <c r="O59" s="249">
        <f>Données!O59</f>
        <v>77200.7</v>
      </c>
      <c r="P59" s="249">
        <f>Données!P59</f>
        <v>36524.78</v>
      </c>
      <c r="Q59" s="249">
        <f>Données!Q59</f>
        <v>5974.3</v>
      </c>
      <c r="R59" s="249">
        <f>Données!R59</f>
        <v>-7252.1</v>
      </c>
      <c r="S59" s="241"/>
      <c r="T59" s="233">
        <f t="shared" si="3"/>
        <v>12199001.626208374</v>
      </c>
      <c r="U59" s="250">
        <f t="shared" si="0"/>
        <v>257335.66666666666</v>
      </c>
      <c r="V59" s="250">
        <f t="shared" si="1"/>
        <v>35246.980000000003</v>
      </c>
      <c r="W59" s="251">
        <f t="shared" si="4"/>
        <v>12491584.272875041</v>
      </c>
      <c r="X59" s="233">
        <f t="shared" si="5"/>
        <v>13190.690890047561</v>
      </c>
      <c r="Y59" s="252">
        <f t="shared" si="2"/>
        <v>3.8474861900463937</v>
      </c>
    </row>
    <row r="60" spans="1:25" x14ac:dyDescent="0.25">
      <c r="A60" s="108">
        <f>Données!A60</f>
        <v>5493</v>
      </c>
      <c r="B60" s="116" t="str">
        <f>Données!B60</f>
        <v>Orny</v>
      </c>
      <c r="C60" s="246">
        <f>Données!C60</f>
        <v>525</v>
      </c>
      <c r="D60" s="247">
        <f>Données!D60</f>
        <v>73</v>
      </c>
      <c r="E60" s="248">
        <f>Données!E60</f>
        <v>0.65</v>
      </c>
      <c r="F60" s="249">
        <f>Données!F60</f>
        <v>999621.77</v>
      </c>
      <c r="G60" s="249">
        <f>Données!G60</f>
        <v>93466.89</v>
      </c>
      <c r="H60" s="249">
        <f>Données!H60</f>
        <v>20620.900000000001</v>
      </c>
      <c r="I60" s="249">
        <f>Données!I60</f>
        <v>3441.1</v>
      </c>
      <c r="J60" s="249">
        <f>Données!J60</f>
        <v>0</v>
      </c>
      <c r="K60" s="249">
        <f>Données!K60</f>
        <v>0</v>
      </c>
      <c r="L60" s="249">
        <f>Données!L60</f>
        <v>-11469.11</v>
      </c>
      <c r="M60" s="249">
        <f>Données!M60</f>
        <v>0</v>
      </c>
      <c r="N60" s="249">
        <f>Données!N60</f>
        <v>2287.7465803112846</v>
      </c>
      <c r="O60" s="249">
        <f>Données!O60</f>
        <v>57982.05</v>
      </c>
      <c r="P60" s="249">
        <f>Données!P60</f>
        <v>9926.52</v>
      </c>
      <c r="Q60" s="249">
        <f>Données!Q60</f>
        <v>5460.15</v>
      </c>
      <c r="R60" s="249">
        <f>Données!R60</f>
        <v>-962.55</v>
      </c>
      <c r="S60" s="241"/>
      <c r="T60" s="233">
        <f t="shared" si="3"/>
        <v>1022915.9779036546</v>
      </c>
      <c r="U60" s="250">
        <f t="shared" si="0"/>
        <v>89203.153846153844</v>
      </c>
      <c r="V60" s="250">
        <f t="shared" si="1"/>
        <v>14424.12</v>
      </c>
      <c r="W60" s="251">
        <f t="shared" si="4"/>
        <v>1126543.2517498084</v>
      </c>
      <c r="X60" s="233">
        <f t="shared" si="5"/>
        <v>2145.796669999635</v>
      </c>
      <c r="Y60" s="252">
        <f t="shared" si="2"/>
        <v>0.62589011624101265</v>
      </c>
    </row>
    <row r="61" spans="1:25" x14ac:dyDescent="0.25">
      <c r="A61" s="108">
        <f>Données!A61</f>
        <v>5495</v>
      </c>
      <c r="B61" s="116" t="str">
        <f>Données!B61</f>
        <v>Penthalaz</v>
      </c>
      <c r="C61" s="246">
        <f>Données!C61</f>
        <v>3199</v>
      </c>
      <c r="D61" s="247">
        <f>Données!D61</f>
        <v>72.5</v>
      </c>
      <c r="E61" s="248">
        <f>Données!E61</f>
        <v>1</v>
      </c>
      <c r="F61" s="249">
        <f>Données!F61</f>
        <v>5042277.93</v>
      </c>
      <c r="G61" s="249">
        <f>Données!G61</f>
        <v>654204.42000000004</v>
      </c>
      <c r="H61" s="249">
        <f>Données!H61</f>
        <v>180698.55</v>
      </c>
      <c r="I61" s="249">
        <f>Données!I61</f>
        <v>16892.25</v>
      </c>
      <c r="J61" s="249">
        <f>Données!J61</f>
        <v>83902.48</v>
      </c>
      <c r="K61" s="249">
        <f>Données!K61</f>
        <v>32969.800000000003</v>
      </c>
      <c r="L61" s="249">
        <f>Données!L61</f>
        <v>-138208.93</v>
      </c>
      <c r="M61" s="249">
        <f>Données!M61</f>
        <v>0</v>
      </c>
      <c r="N61" s="249">
        <f>Données!N61</f>
        <v>18786.371748024725</v>
      </c>
      <c r="O61" s="249">
        <f>Données!O61</f>
        <v>555131.4</v>
      </c>
      <c r="P61" s="249">
        <f>Données!P61</f>
        <v>248255.6</v>
      </c>
      <c r="Q61" s="249">
        <f>Données!Q61</f>
        <v>102178.15</v>
      </c>
      <c r="R61" s="249">
        <f>Données!R61</f>
        <v>-356.75</v>
      </c>
      <c r="S61" s="241"/>
      <c r="T61" s="233">
        <f t="shared" si="3"/>
        <v>5476771.9594277339</v>
      </c>
      <c r="U61" s="250">
        <f t="shared" si="0"/>
        <v>555131.4</v>
      </c>
      <c r="V61" s="250">
        <f t="shared" si="1"/>
        <v>350077</v>
      </c>
      <c r="W61" s="251">
        <f t="shared" si="4"/>
        <v>6381980.3594277343</v>
      </c>
      <c r="X61" s="233">
        <f t="shared" si="5"/>
        <v>1994.9922974141089</v>
      </c>
      <c r="Y61" s="252">
        <f t="shared" si="2"/>
        <v>0.58190320564187181</v>
      </c>
    </row>
    <row r="62" spans="1:25" x14ac:dyDescent="0.25">
      <c r="A62" s="108">
        <f>Données!A62</f>
        <v>5496</v>
      </c>
      <c r="B62" s="116" t="str">
        <f>Données!B62</f>
        <v>Penthaz</v>
      </c>
      <c r="C62" s="246">
        <f>Données!C62</f>
        <v>1910</v>
      </c>
      <c r="D62" s="247">
        <f>Données!D62</f>
        <v>69.5</v>
      </c>
      <c r="E62" s="248">
        <f>Données!E62</f>
        <v>1</v>
      </c>
      <c r="F62" s="249">
        <f>Données!F62</f>
        <v>3428722.11</v>
      </c>
      <c r="G62" s="249">
        <f>Données!G62</f>
        <v>390512.72</v>
      </c>
      <c r="H62" s="249">
        <f>Données!H62</f>
        <v>103779.79</v>
      </c>
      <c r="I62" s="249">
        <f>Données!I62</f>
        <v>17351.900000000001</v>
      </c>
      <c r="J62" s="249">
        <f>Données!J62</f>
        <v>0</v>
      </c>
      <c r="K62" s="249">
        <f>Données!K62</f>
        <v>12459.75</v>
      </c>
      <c r="L62" s="249">
        <f>Données!L62</f>
        <v>-100269.89</v>
      </c>
      <c r="M62" s="249">
        <f>Données!M62</f>
        <v>0</v>
      </c>
      <c r="N62" s="249">
        <f>Données!N62</f>
        <v>11516.856851667635</v>
      </c>
      <c r="O62" s="249">
        <f>Données!O62</f>
        <v>397012.55</v>
      </c>
      <c r="P62" s="249">
        <f>Données!P62</f>
        <v>128509.58</v>
      </c>
      <c r="Q62" s="249">
        <f>Données!Q62</f>
        <v>28304.1</v>
      </c>
      <c r="R62" s="249">
        <f>Données!R62</f>
        <v>-618.20000000000005</v>
      </c>
      <c r="S62" s="241"/>
      <c r="T62" s="233">
        <f t="shared" si="3"/>
        <v>3747103.0883561177</v>
      </c>
      <c r="U62" s="250">
        <f t="shared" si="0"/>
        <v>397012.55</v>
      </c>
      <c r="V62" s="250">
        <f t="shared" si="1"/>
        <v>156195.47999999998</v>
      </c>
      <c r="W62" s="251">
        <f t="shared" si="4"/>
        <v>4300311.118356118</v>
      </c>
      <c r="X62" s="233">
        <f t="shared" si="5"/>
        <v>2251.471789715245</v>
      </c>
      <c r="Y62" s="252">
        <f t="shared" si="2"/>
        <v>0.65671363921842374</v>
      </c>
    </row>
    <row r="63" spans="1:25" x14ac:dyDescent="0.25">
      <c r="A63" s="108">
        <f>Données!A63</f>
        <v>5497</v>
      </c>
      <c r="B63" s="116" t="str">
        <f>Données!B63</f>
        <v>Pompaples</v>
      </c>
      <c r="C63" s="246">
        <f>Données!C63</f>
        <v>917</v>
      </c>
      <c r="D63" s="247">
        <f>Données!D63</f>
        <v>66</v>
      </c>
      <c r="E63" s="248">
        <f>Données!E63</f>
        <v>1</v>
      </c>
      <c r="F63" s="249">
        <f>Données!F63</f>
        <v>1306202.24</v>
      </c>
      <c r="G63" s="249">
        <f>Données!G63</f>
        <v>131462.10999999999</v>
      </c>
      <c r="H63" s="249">
        <f>Données!H63</f>
        <v>14309.2</v>
      </c>
      <c r="I63" s="249">
        <f>Données!I63</f>
        <v>2823.25</v>
      </c>
      <c r="J63" s="249">
        <f>Données!J63</f>
        <v>0</v>
      </c>
      <c r="K63" s="249">
        <f>Données!K63</f>
        <v>1881.04</v>
      </c>
      <c r="L63" s="249">
        <f>Données!L63</f>
        <v>-46692.77</v>
      </c>
      <c r="M63" s="249">
        <f>Données!M63</f>
        <v>0</v>
      </c>
      <c r="N63" s="249">
        <f>Données!N63</f>
        <v>1628.90465879204</v>
      </c>
      <c r="O63" s="249">
        <f>Données!O63</f>
        <v>144794.15</v>
      </c>
      <c r="P63" s="249">
        <f>Données!P63</f>
        <v>109551.77</v>
      </c>
      <c r="Q63" s="249">
        <f>Données!Q63</f>
        <v>3771.5</v>
      </c>
      <c r="R63" s="249">
        <f>Données!R63</f>
        <v>-228.2</v>
      </c>
      <c r="S63" s="241"/>
      <c r="T63" s="233">
        <f t="shared" si="3"/>
        <v>1441474.9858006164</v>
      </c>
      <c r="U63" s="250">
        <f t="shared" si="0"/>
        <v>144794.15</v>
      </c>
      <c r="V63" s="250">
        <f t="shared" si="1"/>
        <v>113095.07</v>
      </c>
      <c r="W63" s="251">
        <f t="shared" si="4"/>
        <v>1699364.2058006164</v>
      </c>
      <c r="X63" s="233">
        <f t="shared" si="5"/>
        <v>1853.1779779723188</v>
      </c>
      <c r="Y63" s="252">
        <f t="shared" si="2"/>
        <v>0.54053853110349759</v>
      </c>
    </row>
    <row r="64" spans="1:25" x14ac:dyDescent="0.25">
      <c r="A64" s="108">
        <f>Données!A64</f>
        <v>5498</v>
      </c>
      <c r="B64" s="116" t="str">
        <f>Données!B64</f>
        <v>La Sarraz</v>
      </c>
      <c r="C64" s="246">
        <f>Données!C64</f>
        <v>2609</v>
      </c>
      <c r="D64" s="247">
        <f>Données!D64</f>
        <v>70</v>
      </c>
      <c r="E64" s="248">
        <f>Données!E64</f>
        <v>1</v>
      </c>
      <c r="F64" s="249">
        <f>Données!F64</f>
        <v>4190123.88</v>
      </c>
      <c r="G64" s="249">
        <f>Données!G64</f>
        <v>491420.3</v>
      </c>
      <c r="H64" s="249">
        <f>Données!H64</f>
        <v>155786.35</v>
      </c>
      <c r="I64" s="249">
        <f>Données!I64</f>
        <v>11416.65</v>
      </c>
      <c r="J64" s="249">
        <f>Données!J64</f>
        <v>0</v>
      </c>
      <c r="K64" s="249">
        <f>Données!K64</f>
        <v>4047.05</v>
      </c>
      <c r="L64" s="249">
        <f>Données!L64</f>
        <v>-133005.95000000001</v>
      </c>
      <c r="M64" s="249">
        <f>Données!M64</f>
        <v>0</v>
      </c>
      <c r="N64" s="249">
        <f>Données!N64</f>
        <v>15897.186080449992</v>
      </c>
      <c r="O64" s="249">
        <f>Données!O64</f>
        <v>430514.2</v>
      </c>
      <c r="P64" s="249">
        <f>Données!P64</f>
        <v>170685.91</v>
      </c>
      <c r="Q64" s="249">
        <f>Données!Q64</f>
        <v>29219.8</v>
      </c>
      <c r="R64" s="249">
        <f>Données!R64</f>
        <v>-269.3</v>
      </c>
      <c r="S64" s="241"/>
      <c r="T64" s="233">
        <f t="shared" si="3"/>
        <v>4559528.2049624827</v>
      </c>
      <c r="U64" s="250">
        <f t="shared" si="0"/>
        <v>430514.2</v>
      </c>
      <c r="V64" s="250">
        <f t="shared" si="1"/>
        <v>199636.41</v>
      </c>
      <c r="W64" s="251">
        <f t="shared" si="4"/>
        <v>5189678.814962483</v>
      </c>
      <c r="X64" s="233">
        <f t="shared" si="5"/>
        <v>1989.1448121741983</v>
      </c>
      <c r="Y64" s="252">
        <f t="shared" si="2"/>
        <v>0.58019759985559483</v>
      </c>
    </row>
    <row r="65" spans="1:25" x14ac:dyDescent="0.25">
      <c r="A65" s="108">
        <f>Données!A65</f>
        <v>5499</v>
      </c>
      <c r="B65" s="116" t="str">
        <f>Données!B65</f>
        <v>Senarclens</v>
      </c>
      <c r="C65" s="246">
        <f>Données!C65</f>
        <v>505</v>
      </c>
      <c r="D65" s="247">
        <f>Données!D65</f>
        <v>68.5</v>
      </c>
      <c r="E65" s="248">
        <f>Données!E65</f>
        <v>1</v>
      </c>
      <c r="F65" s="249">
        <f>Données!F65</f>
        <v>1206251.51</v>
      </c>
      <c r="G65" s="249">
        <f>Données!G65</f>
        <v>150388.78</v>
      </c>
      <c r="H65" s="249">
        <f>Données!H65</f>
        <v>42642.95</v>
      </c>
      <c r="I65" s="249">
        <f>Données!I65</f>
        <v>3358.05</v>
      </c>
      <c r="J65" s="249">
        <f>Données!J65</f>
        <v>0</v>
      </c>
      <c r="K65" s="249">
        <f>Données!K65</f>
        <v>2276.58</v>
      </c>
      <c r="L65" s="249">
        <f>Données!L65</f>
        <v>-7125.74</v>
      </c>
      <c r="M65" s="249">
        <f>Données!M65</f>
        <v>0</v>
      </c>
      <c r="N65" s="249">
        <f>Données!N65</f>
        <v>4373.6443537901832</v>
      </c>
      <c r="O65" s="249">
        <f>Données!O65</f>
        <v>110504.1</v>
      </c>
      <c r="P65" s="249">
        <f>Données!P65</f>
        <v>11389.11</v>
      </c>
      <c r="Q65" s="249">
        <f>Données!Q65</f>
        <v>0</v>
      </c>
      <c r="R65" s="249">
        <f>Données!R65</f>
        <v>-3532.2</v>
      </c>
      <c r="S65" s="241"/>
      <c r="T65" s="233">
        <f t="shared" si="3"/>
        <v>1379570.4631421966</v>
      </c>
      <c r="U65" s="250">
        <f t="shared" si="0"/>
        <v>110504.1</v>
      </c>
      <c r="V65" s="250">
        <f t="shared" si="1"/>
        <v>7856.9100000000008</v>
      </c>
      <c r="W65" s="251">
        <f t="shared" si="4"/>
        <v>1497931.4731421967</v>
      </c>
      <c r="X65" s="233">
        <f t="shared" si="5"/>
        <v>2966.2009369152411</v>
      </c>
      <c r="Y65" s="252">
        <f t="shared" si="2"/>
        <v>0.86518721701641776</v>
      </c>
    </row>
    <row r="66" spans="1:25" x14ac:dyDescent="0.25">
      <c r="A66" s="108">
        <f>Données!A66</f>
        <v>5501</v>
      </c>
      <c r="B66" s="116" t="str">
        <f>Données!B66</f>
        <v>Sullens</v>
      </c>
      <c r="C66" s="246">
        <f>Données!C66</f>
        <v>1282</v>
      </c>
      <c r="D66" s="247">
        <f>Données!D66</f>
        <v>64</v>
      </c>
      <c r="E66" s="248">
        <f>Données!E66</f>
        <v>1</v>
      </c>
      <c r="F66" s="249">
        <f>Données!F66</f>
        <v>2830921.13</v>
      </c>
      <c r="G66" s="249">
        <f>Données!G66</f>
        <v>428914.08</v>
      </c>
      <c r="H66" s="249">
        <f>Données!H66</f>
        <v>167413.4</v>
      </c>
      <c r="I66" s="249">
        <f>Données!I66</f>
        <v>4148.95</v>
      </c>
      <c r="J66" s="249">
        <f>Données!J66</f>
        <v>0</v>
      </c>
      <c r="K66" s="249">
        <f>Données!K66</f>
        <v>1458.68</v>
      </c>
      <c r="L66" s="249">
        <f>Données!L66</f>
        <v>-33264.660000000003</v>
      </c>
      <c r="M66" s="249">
        <f>Données!M66</f>
        <v>0</v>
      </c>
      <c r="N66" s="249">
        <f>Données!N66</f>
        <v>16311.660689995333</v>
      </c>
      <c r="O66" s="249">
        <f>Données!O66</f>
        <v>293416.2</v>
      </c>
      <c r="P66" s="249">
        <f>Données!P66</f>
        <v>633.37</v>
      </c>
      <c r="Q66" s="249">
        <f>Données!Q66</f>
        <v>0</v>
      </c>
      <c r="R66" s="249">
        <f>Données!R66</f>
        <v>-2005.7</v>
      </c>
      <c r="S66" s="241"/>
      <c r="T66" s="233">
        <f t="shared" si="3"/>
        <v>3597167.6836810722</v>
      </c>
      <c r="U66" s="250">
        <f t="shared" si="0"/>
        <v>293416.2</v>
      </c>
      <c r="V66" s="250">
        <f t="shared" si="1"/>
        <v>-1372.33</v>
      </c>
      <c r="W66" s="251">
        <f t="shared" si="4"/>
        <v>3889211.5536810723</v>
      </c>
      <c r="X66" s="233">
        <f t="shared" si="5"/>
        <v>3033.7063601256414</v>
      </c>
      <c r="Y66" s="252">
        <f t="shared" si="2"/>
        <v>0.88487732921146711</v>
      </c>
    </row>
    <row r="67" spans="1:25" x14ac:dyDescent="0.25">
      <c r="A67" s="108">
        <f>Données!A67</f>
        <v>5503</v>
      </c>
      <c r="B67" s="116" t="str">
        <f>Données!B67</f>
        <v>Vufflens-la-Ville</v>
      </c>
      <c r="C67" s="246">
        <f>Données!C67</f>
        <v>1327</v>
      </c>
      <c r="D67" s="247">
        <f>Données!D67</f>
        <v>67</v>
      </c>
      <c r="E67" s="248">
        <f>Données!E67</f>
        <v>1.2</v>
      </c>
      <c r="F67" s="249">
        <f>Données!F67</f>
        <v>3103743.2</v>
      </c>
      <c r="G67" s="249">
        <f>Données!G67</f>
        <v>621308.28</v>
      </c>
      <c r="H67" s="249">
        <f>Données!H67</f>
        <v>3049093.5</v>
      </c>
      <c r="I67" s="249">
        <f>Données!I67</f>
        <v>8763.75</v>
      </c>
      <c r="J67" s="249">
        <f>Données!J67</f>
        <v>0</v>
      </c>
      <c r="K67" s="249">
        <f>Données!K67</f>
        <v>3943.3</v>
      </c>
      <c r="L67" s="249">
        <f>Données!L67</f>
        <v>-36346.620000000003</v>
      </c>
      <c r="M67" s="249">
        <f>Données!M67</f>
        <v>0</v>
      </c>
      <c r="N67" s="249">
        <f>Données!N67</f>
        <v>290732.37747350876</v>
      </c>
      <c r="O67" s="249">
        <f>Données!O67</f>
        <v>633694.55000000005</v>
      </c>
      <c r="P67" s="249">
        <f>Données!P67</f>
        <v>89960.51</v>
      </c>
      <c r="Q67" s="249">
        <f>Données!Q67</f>
        <v>66106.850000000006</v>
      </c>
      <c r="R67" s="249">
        <f>Données!R67</f>
        <v>-17410.849999999999</v>
      </c>
      <c r="S67" s="241"/>
      <c r="T67" s="233">
        <f t="shared" si="3"/>
        <v>7082870.559865118</v>
      </c>
      <c r="U67" s="250">
        <f t="shared" si="0"/>
        <v>528078.79166666674</v>
      </c>
      <c r="V67" s="250">
        <f t="shared" si="1"/>
        <v>138656.50999999998</v>
      </c>
      <c r="W67" s="251">
        <f t="shared" si="4"/>
        <v>7749605.8615317848</v>
      </c>
      <c r="X67" s="233">
        <f t="shared" si="5"/>
        <v>5839.9441307699963</v>
      </c>
      <c r="Y67" s="252">
        <f t="shared" si="2"/>
        <v>1.7034061810009586</v>
      </c>
    </row>
    <row r="68" spans="1:25" x14ac:dyDescent="0.25">
      <c r="A68" s="108">
        <f>Données!A68</f>
        <v>5511</v>
      </c>
      <c r="B68" s="116" t="str">
        <f>Données!B68</f>
        <v>Assens</v>
      </c>
      <c r="C68" s="246">
        <f>Données!C68</f>
        <v>1747</v>
      </c>
      <c r="D68" s="247">
        <f>Données!D68</f>
        <v>70</v>
      </c>
      <c r="E68" s="248">
        <f>Données!E68</f>
        <v>1</v>
      </c>
      <c r="F68" s="249">
        <f>Données!F68</f>
        <v>3630211.33</v>
      </c>
      <c r="G68" s="249">
        <f>Données!G68</f>
        <v>612843.73</v>
      </c>
      <c r="H68" s="249">
        <f>Données!H68</f>
        <v>384808.35</v>
      </c>
      <c r="I68" s="249">
        <f>Données!I68</f>
        <v>58773.35</v>
      </c>
      <c r="J68" s="249">
        <f>Données!J68</f>
        <v>0</v>
      </c>
      <c r="K68" s="249">
        <f>Données!K68</f>
        <v>50690.65</v>
      </c>
      <c r="L68" s="249">
        <f>Données!L68</f>
        <v>-54165.99</v>
      </c>
      <c r="M68" s="249">
        <f>Données!M68</f>
        <v>0</v>
      </c>
      <c r="N68" s="249">
        <f>Données!N68</f>
        <v>42174.487460047625</v>
      </c>
      <c r="O68" s="249">
        <f>Données!O68</f>
        <v>432845.65</v>
      </c>
      <c r="P68" s="249">
        <f>Données!P68</f>
        <v>81576.570000000007</v>
      </c>
      <c r="Q68" s="249">
        <f>Données!Q68</f>
        <v>21205.55</v>
      </c>
      <c r="R68" s="249">
        <f>Données!R68</f>
        <v>-4185</v>
      </c>
      <c r="S68" s="241"/>
      <c r="T68" s="233">
        <f t="shared" si="3"/>
        <v>4549563.62754774</v>
      </c>
      <c r="U68" s="250">
        <f t="shared" si="0"/>
        <v>432845.65</v>
      </c>
      <c r="V68" s="250">
        <f t="shared" si="1"/>
        <v>98597.12000000001</v>
      </c>
      <c r="W68" s="251">
        <f t="shared" si="4"/>
        <v>5081006.3975477405</v>
      </c>
      <c r="X68" s="233">
        <f t="shared" si="5"/>
        <v>2908.4180867474188</v>
      </c>
      <c r="Y68" s="252">
        <f t="shared" si="2"/>
        <v>0.84833300370072584</v>
      </c>
    </row>
    <row r="69" spans="1:25" x14ac:dyDescent="0.25">
      <c r="A69" s="108">
        <f>Données!A69</f>
        <v>5512</v>
      </c>
      <c r="B69" s="116" t="str">
        <f>Données!B69</f>
        <v>Bercher</v>
      </c>
      <c r="C69" s="246">
        <f>Données!C69</f>
        <v>1359</v>
      </c>
      <c r="D69" s="247">
        <f>Données!D69</f>
        <v>79</v>
      </c>
      <c r="E69" s="248">
        <f>Données!E69</f>
        <v>1</v>
      </c>
      <c r="F69" s="249">
        <f>Données!F69</f>
        <v>2588002.89</v>
      </c>
      <c r="G69" s="249">
        <f>Données!G69</f>
        <v>394577.28</v>
      </c>
      <c r="H69" s="249">
        <f>Données!H69</f>
        <v>25291.9</v>
      </c>
      <c r="I69" s="249">
        <f>Données!I69</f>
        <v>975.5</v>
      </c>
      <c r="J69" s="249">
        <f>Données!J69</f>
        <v>0</v>
      </c>
      <c r="K69" s="249">
        <f>Données!K69</f>
        <v>11375.73</v>
      </c>
      <c r="L69" s="249">
        <f>Données!L69</f>
        <v>-20166.12</v>
      </c>
      <c r="M69" s="249">
        <f>Données!M69</f>
        <v>0</v>
      </c>
      <c r="N69" s="249">
        <f>Données!N69</f>
        <v>2497.4297449783326</v>
      </c>
      <c r="O69" s="249">
        <f>Données!O69</f>
        <v>300368.7</v>
      </c>
      <c r="P69" s="249">
        <f>Données!P69</f>
        <v>32386.639999999999</v>
      </c>
      <c r="Q69" s="249">
        <f>Données!Q69</f>
        <v>15275.85</v>
      </c>
      <c r="R69" s="249">
        <f>Données!R69</f>
        <v>-205.9</v>
      </c>
      <c r="S69" s="241"/>
      <c r="T69" s="233">
        <f t="shared" si="3"/>
        <v>2561526.8970919419</v>
      </c>
      <c r="U69" s="250">
        <f t="shared" si="0"/>
        <v>300368.7</v>
      </c>
      <c r="V69" s="250">
        <f t="shared" si="1"/>
        <v>47456.59</v>
      </c>
      <c r="W69" s="251">
        <f t="shared" si="4"/>
        <v>2909352.1870919419</v>
      </c>
      <c r="X69" s="233">
        <f t="shared" si="5"/>
        <v>2140.8036696776617</v>
      </c>
      <c r="Y69" s="252">
        <f t="shared" si="2"/>
        <v>0.62443374826561082</v>
      </c>
    </row>
    <row r="70" spans="1:25" x14ac:dyDescent="0.25">
      <c r="A70" s="108">
        <f>Données!A70</f>
        <v>5514</v>
      </c>
      <c r="B70" s="116" t="str">
        <f>Données!B70</f>
        <v>Bottens</v>
      </c>
      <c r="C70" s="246">
        <f>Données!C70</f>
        <v>1389</v>
      </c>
      <c r="D70" s="247">
        <f>Données!D70</f>
        <v>72.5</v>
      </c>
      <c r="E70" s="248">
        <f>Données!E70</f>
        <v>1</v>
      </c>
      <c r="F70" s="249">
        <f>Données!F70</f>
        <v>2624572.62</v>
      </c>
      <c r="G70" s="249">
        <f>Données!G70</f>
        <v>371137.06</v>
      </c>
      <c r="H70" s="249">
        <f>Données!H70</f>
        <v>48215.6</v>
      </c>
      <c r="I70" s="249">
        <f>Données!I70</f>
        <v>7658.15</v>
      </c>
      <c r="J70" s="249">
        <f>Données!J70</f>
        <v>45412.1</v>
      </c>
      <c r="K70" s="249">
        <f>Données!K70</f>
        <v>1805.7</v>
      </c>
      <c r="L70" s="249">
        <f>Données!L70</f>
        <v>-80584.39</v>
      </c>
      <c r="M70" s="249">
        <f>Données!M70</f>
        <v>0</v>
      </c>
      <c r="N70" s="249">
        <f>Données!N70</f>
        <v>5312.3173672873254</v>
      </c>
      <c r="O70" s="249">
        <f>Données!O70</f>
        <v>259192.2</v>
      </c>
      <c r="P70" s="249">
        <f>Données!P70</f>
        <v>66656.52</v>
      </c>
      <c r="Q70" s="249">
        <f>Données!Q70</f>
        <v>15746</v>
      </c>
      <c r="R70" s="249">
        <f>Données!R70</f>
        <v>-4173.8999999999996</v>
      </c>
      <c r="S70" s="241"/>
      <c r="T70" s="233">
        <f t="shared" ref="T70:T133" si="6">(SUM(F70:N70)/D70*$T$4)</f>
        <v>2810679.0159448516</v>
      </c>
      <c r="U70" s="250">
        <f t="shared" ref="U70:U133" si="7">O70/E70*$U$4</f>
        <v>259192.2</v>
      </c>
      <c r="V70" s="250">
        <f t="shared" ref="V70:V133" si="8">SUM(P70:R70)</f>
        <v>78228.62000000001</v>
      </c>
      <c r="W70" s="251">
        <f t="shared" ref="W70:W133" si="9">SUM(T70:V70)</f>
        <v>3148099.8359448519</v>
      </c>
      <c r="X70" s="233">
        <f t="shared" ref="X70:X133" si="10">W70/C70</f>
        <v>2266.4505658350267</v>
      </c>
      <c r="Y70" s="252">
        <f t="shared" si="2"/>
        <v>0.66108267756107342</v>
      </c>
    </row>
    <row r="71" spans="1:25" x14ac:dyDescent="0.25">
      <c r="A71" s="108">
        <f>Données!A71</f>
        <v>5515</v>
      </c>
      <c r="B71" s="116" t="str">
        <f>Données!B71</f>
        <v>Bretigny-sur-Morrens</v>
      </c>
      <c r="C71" s="246">
        <f>Données!C71</f>
        <v>893</v>
      </c>
      <c r="D71" s="247">
        <f>Données!D71</f>
        <v>76</v>
      </c>
      <c r="E71" s="248">
        <f>Données!E71</f>
        <v>1</v>
      </c>
      <c r="F71" s="249">
        <f>Données!F71</f>
        <v>1843777.86</v>
      </c>
      <c r="G71" s="249">
        <f>Données!G71</f>
        <v>251851.59</v>
      </c>
      <c r="H71" s="249">
        <f>Données!H71</f>
        <v>54153.45</v>
      </c>
      <c r="I71" s="249">
        <f>Données!I71</f>
        <v>10655</v>
      </c>
      <c r="J71" s="249">
        <f>Données!J71</f>
        <v>0</v>
      </c>
      <c r="K71" s="249">
        <f>Données!K71</f>
        <v>2648.64</v>
      </c>
      <c r="L71" s="249">
        <f>Données!L71</f>
        <v>-40663.599999999999</v>
      </c>
      <c r="M71" s="249">
        <f>Données!M71</f>
        <v>0</v>
      </c>
      <c r="N71" s="249">
        <f>Données!N71</f>
        <v>6161.8032525465405</v>
      </c>
      <c r="O71" s="249">
        <f>Données!O71</f>
        <v>193242.05</v>
      </c>
      <c r="P71" s="249">
        <f>Données!P71</f>
        <v>21794.01</v>
      </c>
      <c r="Q71" s="249">
        <f>Données!Q71</f>
        <v>18224.55</v>
      </c>
      <c r="R71" s="249">
        <f>Données!R71</f>
        <v>-365.05</v>
      </c>
      <c r="S71" s="241"/>
      <c r="T71" s="233">
        <f t="shared" si="6"/>
        <v>1887610.7827082323</v>
      </c>
      <c r="U71" s="250">
        <f t="shared" si="7"/>
        <v>193242.05</v>
      </c>
      <c r="V71" s="250">
        <f t="shared" si="8"/>
        <v>39653.509999999995</v>
      </c>
      <c r="W71" s="251">
        <f t="shared" si="9"/>
        <v>2120506.3427082323</v>
      </c>
      <c r="X71" s="233">
        <f t="shared" si="10"/>
        <v>2374.5871698860383</v>
      </c>
      <c r="Y71" s="252">
        <f t="shared" si="2"/>
        <v>0.69262417104256313</v>
      </c>
    </row>
    <row r="72" spans="1:25" x14ac:dyDescent="0.25">
      <c r="A72" s="108">
        <f>Données!A72</f>
        <v>5516</v>
      </c>
      <c r="B72" s="116" t="str">
        <f>Données!B72</f>
        <v>Cugy</v>
      </c>
      <c r="C72" s="246">
        <f>Données!C72</f>
        <v>2824</v>
      </c>
      <c r="D72" s="247">
        <f>Données!D72</f>
        <v>76</v>
      </c>
      <c r="E72" s="248">
        <f>Données!E72</f>
        <v>1.2</v>
      </c>
      <c r="F72" s="249">
        <f>Données!F72</f>
        <v>6293187.25</v>
      </c>
      <c r="G72" s="249">
        <f>Données!G72</f>
        <v>900285.9</v>
      </c>
      <c r="H72" s="249">
        <f>Données!H72</f>
        <v>318852.40000000002</v>
      </c>
      <c r="I72" s="249">
        <f>Données!I72</f>
        <v>8864.9500000000007</v>
      </c>
      <c r="J72" s="249">
        <f>Données!J72</f>
        <v>70513.03</v>
      </c>
      <c r="K72" s="249">
        <f>Données!K72</f>
        <v>44105.38</v>
      </c>
      <c r="L72" s="249">
        <f>Données!L72</f>
        <v>-140770.29</v>
      </c>
      <c r="M72" s="249">
        <f>Données!M72</f>
        <v>0</v>
      </c>
      <c r="N72" s="249">
        <f>Données!N72</f>
        <v>31158.434326788145</v>
      </c>
      <c r="O72" s="249">
        <f>Données!O72</f>
        <v>791201.85</v>
      </c>
      <c r="P72" s="249">
        <f>Données!P72</f>
        <v>185283.33</v>
      </c>
      <c r="Q72" s="249">
        <f>Données!Q72</f>
        <v>57859</v>
      </c>
      <c r="R72" s="249">
        <f>Données!R72</f>
        <v>-5449.05</v>
      </c>
      <c r="S72" s="241"/>
      <c r="T72" s="233">
        <f t="shared" si="6"/>
        <v>6674167.3111995254</v>
      </c>
      <c r="U72" s="250">
        <f t="shared" si="7"/>
        <v>659334.875</v>
      </c>
      <c r="V72" s="250">
        <f t="shared" si="8"/>
        <v>237693.28</v>
      </c>
      <c r="W72" s="251">
        <f t="shared" si="9"/>
        <v>7571195.4661995256</v>
      </c>
      <c r="X72" s="233">
        <f t="shared" si="10"/>
        <v>2681.0182245749029</v>
      </c>
      <c r="Y72" s="252">
        <f t="shared" ref="Y72:Y135" si="11">X72/$X$302</f>
        <v>0.78200457279288471</v>
      </c>
    </row>
    <row r="73" spans="1:25" x14ac:dyDescent="0.25">
      <c r="A73" s="108">
        <f>Données!A73</f>
        <v>5518</v>
      </c>
      <c r="B73" s="116" t="str">
        <f>Données!B73</f>
        <v>Echallens</v>
      </c>
      <c r="C73" s="246">
        <f>Données!C73</f>
        <v>6816</v>
      </c>
      <c r="D73" s="247">
        <f>Données!D73</f>
        <v>72.5</v>
      </c>
      <c r="E73" s="248">
        <f>Données!E73</f>
        <v>1</v>
      </c>
      <c r="F73" s="249">
        <f>Données!F73</f>
        <v>11849472.27</v>
      </c>
      <c r="G73" s="249">
        <f>Données!G73</f>
        <v>1358456.84</v>
      </c>
      <c r="H73" s="249">
        <f>Données!H73</f>
        <v>867702.4</v>
      </c>
      <c r="I73" s="249">
        <f>Données!I73</f>
        <v>29114.9</v>
      </c>
      <c r="J73" s="249">
        <f>Données!J73</f>
        <v>0</v>
      </c>
      <c r="K73" s="249">
        <f>Données!K73</f>
        <v>40228.65</v>
      </c>
      <c r="L73" s="249">
        <f>Données!L73</f>
        <v>-839944.38</v>
      </c>
      <c r="M73" s="249">
        <f>Données!M73</f>
        <v>0</v>
      </c>
      <c r="N73" s="249">
        <f>Données!N73</f>
        <v>85266.840297523042</v>
      </c>
      <c r="O73" s="249">
        <f>Données!O73</f>
        <v>1268333.95</v>
      </c>
      <c r="P73" s="249">
        <f>Données!P73</f>
        <v>287579.09999999998</v>
      </c>
      <c r="Q73" s="249">
        <f>Données!Q73</f>
        <v>91865.35</v>
      </c>
      <c r="R73" s="249">
        <f>Données!R73</f>
        <v>-1849.4</v>
      </c>
      <c r="S73" s="241"/>
      <c r="T73" s="233">
        <f t="shared" si="6"/>
        <v>12447648.525516357</v>
      </c>
      <c r="U73" s="250">
        <f t="shared" si="7"/>
        <v>1268333.95</v>
      </c>
      <c r="V73" s="250">
        <f t="shared" si="8"/>
        <v>377595.04999999993</v>
      </c>
      <c r="W73" s="251">
        <f t="shared" si="9"/>
        <v>14093577.525516357</v>
      </c>
      <c r="X73" s="233">
        <f t="shared" si="10"/>
        <v>2067.7197073820948</v>
      </c>
      <c r="Y73" s="252">
        <f t="shared" si="11"/>
        <v>0.6031164770180355</v>
      </c>
    </row>
    <row r="74" spans="1:25" x14ac:dyDescent="0.25">
      <c r="A74" s="108">
        <f>Données!A74</f>
        <v>5520</v>
      </c>
      <c r="B74" s="116" t="str">
        <f>Données!B74</f>
        <v>Essertines-sur-Yverdon</v>
      </c>
      <c r="C74" s="246">
        <f>Données!C74</f>
        <v>1183</v>
      </c>
      <c r="D74" s="247">
        <f>Données!D74</f>
        <v>72</v>
      </c>
      <c r="E74" s="248">
        <f>Données!E74</f>
        <v>1</v>
      </c>
      <c r="F74" s="249">
        <f>Données!F74</f>
        <v>2042783.45</v>
      </c>
      <c r="G74" s="249">
        <f>Données!G74</f>
        <v>318912.61</v>
      </c>
      <c r="H74" s="249">
        <f>Données!H74</f>
        <v>126932.05</v>
      </c>
      <c r="I74" s="249">
        <f>Données!I74</f>
        <v>2277.1</v>
      </c>
      <c r="J74" s="249">
        <f>Données!J74</f>
        <v>0</v>
      </c>
      <c r="K74" s="249">
        <f>Données!K74</f>
        <v>1565.96</v>
      </c>
      <c r="L74" s="249">
        <f>Données!L74</f>
        <v>-50944.53</v>
      </c>
      <c r="M74" s="249">
        <f>Données!M74</f>
        <v>0</v>
      </c>
      <c r="N74" s="249">
        <f>Données!N74</f>
        <v>12284.838793842067</v>
      </c>
      <c r="O74" s="249">
        <f>Données!O74</f>
        <v>234124.6</v>
      </c>
      <c r="P74" s="249">
        <f>Données!P74</f>
        <v>-282.10000000000002</v>
      </c>
      <c r="Q74" s="249">
        <f>Données!Q74</f>
        <v>8950.1</v>
      </c>
      <c r="R74" s="249">
        <f>Données!R74</f>
        <v>-1022.8</v>
      </c>
      <c r="S74" s="241"/>
      <c r="T74" s="233">
        <f t="shared" si="6"/>
        <v>2296909.0246192515</v>
      </c>
      <c r="U74" s="250">
        <f t="shared" si="7"/>
        <v>234124.6</v>
      </c>
      <c r="V74" s="250">
        <f t="shared" si="8"/>
        <v>7645.2</v>
      </c>
      <c r="W74" s="251">
        <f t="shared" si="9"/>
        <v>2538678.8246192518</v>
      </c>
      <c r="X74" s="233">
        <f t="shared" si="10"/>
        <v>2145.9668847161893</v>
      </c>
      <c r="Y74" s="252">
        <f t="shared" si="11"/>
        <v>0.625939764798222</v>
      </c>
    </row>
    <row r="75" spans="1:25" x14ac:dyDescent="0.25">
      <c r="A75" s="108">
        <f>Données!A75</f>
        <v>5521</v>
      </c>
      <c r="B75" s="116" t="str">
        <f>Données!B75</f>
        <v>Etagnières</v>
      </c>
      <c r="C75" s="246">
        <f>Données!C75</f>
        <v>1168</v>
      </c>
      <c r="D75" s="247">
        <f>Données!D75</f>
        <v>73</v>
      </c>
      <c r="E75" s="248">
        <f>Données!E75</f>
        <v>1</v>
      </c>
      <c r="F75" s="249">
        <f>Données!F75</f>
        <v>2360247.9300000002</v>
      </c>
      <c r="G75" s="249">
        <f>Données!G75</f>
        <v>288158.42</v>
      </c>
      <c r="H75" s="249">
        <f>Données!H75</f>
        <v>128241.75</v>
      </c>
      <c r="I75" s="249">
        <f>Données!I75</f>
        <v>17268.95</v>
      </c>
      <c r="J75" s="249">
        <f>Données!J75</f>
        <v>0</v>
      </c>
      <c r="K75" s="249">
        <f>Données!K75</f>
        <v>7177.2</v>
      </c>
      <c r="L75" s="249">
        <f>Données!L75</f>
        <v>-18003.099999999999</v>
      </c>
      <c r="M75" s="249">
        <f>Données!M75</f>
        <v>0</v>
      </c>
      <c r="N75" s="249">
        <f>Données!N75</f>
        <v>13834.743841895986</v>
      </c>
      <c r="O75" s="249">
        <f>Données!O75</f>
        <v>294063.95</v>
      </c>
      <c r="P75" s="249">
        <f>Données!P75</f>
        <v>81781.91</v>
      </c>
      <c r="Q75" s="249">
        <f>Données!Q75</f>
        <v>20903.400000000001</v>
      </c>
      <c r="R75" s="249">
        <f>Données!R75</f>
        <v>-2042.35</v>
      </c>
      <c r="S75" s="241"/>
      <c r="T75" s="233">
        <f t="shared" si="6"/>
        <v>2582219.7371838056</v>
      </c>
      <c r="U75" s="250">
        <f t="shared" si="7"/>
        <v>294063.95</v>
      </c>
      <c r="V75" s="250">
        <f t="shared" si="8"/>
        <v>100642.95999999999</v>
      </c>
      <c r="W75" s="251">
        <f t="shared" si="9"/>
        <v>2976926.6471838057</v>
      </c>
      <c r="X75" s="233">
        <f t="shared" si="10"/>
        <v>2548.7385677943544</v>
      </c>
      <c r="Y75" s="252">
        <f t="shared" si="11"/>
        <v>0.74342098707098458</v>
      </c>
    </row>
    <row r="76" spans="1:25" x14ac:dyDescent="0.25">
      <c r="A76" s="108">
        <f>Données!A76</f>
        <v>5522</v>
      </c>
      <c r="B76" s="116" t="str">
        <f>Données!B76</f>
        <v>Fey</v>
      </c>
      <c r="C76" s="246">
        <f>Données!C76</f>
        <v>791</v>
      </c>
      <c r="D76" s="247">
        <f>Données!D76</f>
        <v>75</v>
      </c>
      <c r="E76" s="248">
        <f>Données!E76</f>
        <v>1</v>
      </c>
      <c r="F76" s="249">
        <f>Données!F76</f>
        <v>1460614.45</v>
      </c>
      <c r="G76" s="249">
        <f>Données!G76</f>
        <v>191810.02</v>
      </c>
      <c r="H76" s="249">
        <f>Données!H76</f>
        <v>16461.7</v>
      </c>
      <c r="I76" s="249">
        <f>Données!I76</f>
        <v>4682.3999999999996</v>
      </c>
      <c r="J76" s="249">
        <f>Données!J76</f>
        <v>0</v>
      </c>
      <c r="K76" s="249">
        <f>Données!K76</f>
        <v>7636.22</v>
      </c>
      <c r="L76" s="249">
        <f>Données!L76</f>
        <v>-24145.11</v>
      </c>
      <c r="M76" s="249">
        <f>Données!M76</f>
        <v>0</v>
      </c>
      <c r="N76" s="249">
        <f>Données!N76</f>
        <v>2010.3209404355343</v>
      </c>
      <c r="O76" s="249">
        <f>Données!O76</f>
        <v>155576.15</v>
      </c>
      <c r="P76" s="249">
        <f>Données!P76</f>
        <v>6337.39</v>
      </c>
      <c r="Q76" s="249">
        <f>Données!Q76</f>
        <v>5510.9</v>
      </c>
      <c r="R76" s="249">
        <f>Données!R76</f>
        <v>0</v>
      </c>
      <c r="S76" s="241"/>
      <c r="T76" s="233">
        <f t="shared" si="6"/>
        <v>1490865.7714519983</v>
      </c>
      <c r="U76" s="250">
        <f t="shared" si="7"/>
        <v>155576.15</v>
      </c>
      <c r="V76" s="250">
        <f t="shared" si="8"/>
        <v>11848.29</v>
      </c>
      <c r="W76" s="251">
        <f t="shared" si="9"/>
        <v>1658290.2114519982</v>
      </c>
      <c r="X76" s="233">
        <f t="shared" si="10"/>
        <v>2096.4478020884935</v>
      </c>
      <c r="Y76" s="252">
        <f t="shared" si="11"/>
        <v>0.61149594315597755</v>
      </c>
    </row>
    <row r="77" spans="1:25" x14ac:dyDescent="0.25">
      <c r="A77" s="108">
        <f>Données!A77</f>
        <v>5523</v>
      </c>
      <c r="B77" s="116" t="str">
        <f>Données!B77</f>
        <v>Froideville</v>
      </c>
      <c r="C77" s="246">
        <f>Données!C77</f>
        <v>2713</v>
      </c>
      <c r="D77" s="247">
        <f>Données!D77</f>
        <v>72</v>
      </c>
      <c r="E77" s="248">
        <f>Données!E77</f>
        <v>1.25</v>
      </c>
      <c r="F77" s="249">
        <f>Données!F77</f>
        <v>5184639.49</v>
      </c>
      <c r="G77" s="249">
        <f>Données!G77</f>
        <v>658563.39</v>
      </c>
      <c r="H77" s="249">
        <f>Données!H77</f>
        <v>28402.65</v>
      </c>
      <c r="I77" s="249">
        <f>Données!I77</f>
        <v>-6345.85</v>
      </c>
      <c r="J77" s="249">
        <f>Données!J77</f>
        <v>0</v>
      </c>
      <c r="K77" s="249">
        <f>Données!K77</f>
        <v>5385.48</v>
      </c>
      <c r="L77" s="249">
        <f>Données!L77</f>
        <v>-41946.02</v>
      </c>
      <c r="M77" s="249">
        <f>Données!M77</f>
        <v>0</v>
      </c>
      <c r="N77" s="249">
        <f>Données!N77</f>
        <v>2097.0978627134045</v>
      </c>
      <c r="O77" s="249">
        <f>Données!O77</f>
        <v>703755.75</v>
      </c>
      <c r="P77" s="249">
        <f>Données!P77</f>
        <v>37862.379999999997</v>
      </c>
      <c r="Q77" s="249">
        <f>Données!Q77</f>
        <v>25730.799999999999</v>
      </c>
      <c r="R77" s="249">
        <f>Données!R77</f>
        <v>-7810.85</v>
      </c>
      <c r="S77" s="241"/>
      <c r="T77" s="233">
        <f t="shared" si="6"/>
        <v>5457961.467376464</v>
      </c>
      <c r="U77" s="250">
        <f t="shared" si="7"/>
        <v>563004.6</v>
      </c>
      <c r="V77" s="250">
        <f t="shared" si="8"/>
        <v>55782.329999999994</v>
      </c>
      <c r="W77" s="251">
        <f t="shared" si="9"/>
        <v>6076748.3973764637</v>
      </c>
      <c r="X77" s="233">
        <f t="shared" si="10"/>
        <v>2239.8630288892236</v>
      </c>
      <c r="Y77" s="252">
        <f t="shared" si="11"/>
        <v>0.65332757344416104</v>
      </c>
    </row>
    <row r="78" spans="1:25" x14ac:dyDescent="0.25">
      <c r="A78" s="108">
        <f>Données!A78</f>
        <v>5527</v>
      </c>
      <c r="B78" s="116" t="str">
        <f>Données!B78</f>
        <v>Morrens</v>
      </c>
      <c r="C78" s="246">
        <f>Données!C78</f>
        <v>1145</v>
      </c>
      <c r="D78" s="247">
        <f>Données!D78</f>
        <v>74</v>
      </c>
      <c r="E78" s="248">
        <f>Données!E78</f>
        <v>1</v>
      </c>
      <c r="F78" s="249">
        <f>Données!F78</f>
        <v>2515634.67</v>
      </c>
      <c r="G78" s="249">
        <f>Données!G78</f>
        <v>440226.89</v>
      </c>
      <c r="H78" s="249">
        <f>Données!H78</f>
        <v>14664.3</v>
      </c>
      <c r="I78" s="249">
        <f>Données!I78</f>
        <v>6418.45</v>
      </c>
      <c r="J78" s="249">
        <f>Données!J78</f>
        <v>0</v>
      </c>
      <c r="K78" s="249">
        <f>Données!K78</f>
        <v>4341.7700000000004</v>
      </c>
      <c r="L78" s="249">
        <f>Données!L78</f>
        <v>-25231.599999999999</v>
      </c>
      <c r="M78" s="249">
        <f>Données!M78</f>
        <v>0</v>
      </c>
      <c r="N78" s="249">
        <f>Données!N78</f>
        <v>2004.487956780722</v>
      </c>
      <c r="O78" s="249">
        <f>Données!O78</f>
        <v>253499.4</v>
      </c>
      <c r="P78" s="249">
        <f>Données!P78</f>
        <v>29973.16</v>
      </c>
      <c r="Q78" s="249">
        <f>Données!Q78</f>
        <v>4157.75</v>
      </c>
      <c r="R78" s="249">
        <f>Données!R78</f>
        <v>-794.25</v>
      </c>
      <c r="S78" s="241"/>
      <c r="T78" s="233">
        <f t="shared" si="6"/>
        <v>2694078.2413858627</v>
      </c>
      <c r="U78" s="250">
        <f t="shared" si="7"/>
        <v>253499.4</v>
      </c>
      <c r="V78" s="250">
        <f t="shared" si="8"/>
        <v>33336.660000000003</v>
      </c>
      <c r="W78" s="251">
        <f t="shared" si="9"/>
        <v>2980914.3013858628</v>
      </c>
      <c r="X78" s="233">
        <f t="shared" si="10"/>
        <v>2603.4186038304479</v>
      </c>
      <c r="Y78" s="252">
        <f t="shared" si="11"/>
        <v>0.75937016556919668</v>
      </c>
    </row>
    <row r="79" spans="1:25" x14ac:dyDescent="0.25">
      <c r="A79" s="108">
        <f>Données!A79</f>
        <v>5529</v>
      </c>
      <c r="B79" s="116" t="str">
        <f>Données!B79</f>
        <v>Oulens-sous-Echallens</v>
      </c>
      <c r="C79" s="246">
        <f>Données!C79</f>
        <v>609</v>
      </c>
      <c r="D79" s="247">
        <f>Données!D79</f>
        <v>71</v>
      </c>
      <c r="E79" s="248">
        <f>Données!E79</f>
        <v>1</v>
      </c>
      <c r="F79" s="249">
        <f>Données!F79</f>
        <v>1227835.17</v>
      </c>
      <c r="G79" s="249">
        <f>Données!G79</f>
        <v>160200.98000000001</v>
      </c>
      <c r="H79" s="249">
        <f>Données!H79</f>
        <v>79388.899999999994</v>
      </c>
      <c r="I79" s="249">
        <f>Données!I79</f>
        <v>1778.5</v>
      </c>
      <c r="J79" s="249">
        <f>Données!J79</f>
        <v>0</v>
      </c>
      <c r="K79" s="249">
        <f>Données!K79</f>
        <v>269.37</v>
      </c>
      <c r="L79" s="249">
        <f>Données!L79</f>
        <v>-30436.21</v>
      </c>
      <c r="M79" s="249">
        <f>Données!M79</f>
        <v>0</v>
      </c>
      <c r="N79" s="249">
        <f>Données!N79</f>
        <v>7717.1657294804309</v>
      </c>
      <c r="O79" s="249">
        <f>Données!O79</f>
        <v>138496.95000000001</v>
      </c>
      <c r="P79" s="249">
        <f>Données!P79</f>
        <v>18108.580000000002</v>
      </c>
      <c r="Q79" s="249">
        <f>Données!Q79</f>
        <v>5172.05</v>
      </c>
      <c r="R79" s="249">
        <f>Données!R79</f>
        <v>-598.15</v>
      </c>
      <c r="S79" s="241"/>
      <c r="T79" s="233">
        <f t="shared" si="6"/>
        <v>1373318.917652128</v>
      </c>
      <c r="U79" s="250">
        <f t="shared" si="7"/>
        <v>138496.95000000001</v>
      </c>
      <c r="V79" s="250">
        <f t="shared" si="8"/>
        <v>22682.48</v>
      </c>
      <c r="W79" s="251">
        <f t="shared" si="9"/>
        <v>1534498.347652128</v>
      </c>
      <c r="X79" s="233">
        <f t="shared" si="10"/>
        <v>2519.7017202826405</v>
      </c>
      <c r="Y79" s="252">
        <f t="shared" si="11"/>
        <v>0.7349514633185863</v>
      </c>
    </row>
    <row r="80" spans="1:25" x14ac:dyDescent="0.25">
      <c r="A80" s="108">
        <f>Données!A80</f>
        <v>5530</v>
      </c>
      <c r="B80" s="116" t="str">
        <f>Données!B80</f>
        <v>Pailly</v>
      </c>
      <c r="C80" s="246">
        <f>Données!C80</f>
        <v>575</v>
      </c>
      <c r="D80" s="247">
        <f>Données!D80</f>
        <v>76</v>
      </c>
      <c r="E80" s="248">
        <f>Données!E80</f>
        <v>1.2</v>
      </c>
      <c r="F80" s="249">
        <f>Données!F80</f>
        <v>1234239.8400000001</v>
      </c>
      <c r="G80" s="249">
        <f>Données!G80</f>
        <v>149420.9</v>
      </c>
      <c r="H80" s="249">
        <f>Données!H80</f>
        <v>12427.75</v>
      </c>
      <c r="I80" s="249">
        <f>Données!I80</f>
        <v>6845.3</v>
      </c>
      <c r="J80" s="249">
        <f>Données!J80</f>
        <v>0</v>
      </c>
      <c r="K80" s="249">
        <f>Données!K80</f>
        <v>418.91</v>
      </c>
      <c r="L80" s="249">
        <f>Données!L80</f>
        <v>-7437.56</v>
      </c>
      <c r="M80" s="249">
        <f>Données!M80</f>
        <v>0</v>
      </c>
      <c r="N80" s="249">
        <f>Données!N80</f>
        <v>1832.4268236085279</v>
      </c>
      <c r="O80" s="249">
        <f>Données!O80</f>
        <v>140314.25</v>
      </c>
      <c r="P80" s="249">
        <f>Données!P80</f>
        <v>-2574.86</v>
      </c>
      <c r="Q80" s="249">
        <f>Données!Q80</f>
        <v>1400</v>
      </c>
      <c r="R80" s="249">
        <f>Données!R80</f>
        <v>-109.1</v>
      </c>
      <c r="S80" s="241"/>
      <c r="T80" s="233">
        <f t="shared" si="6"/>
        <v>1239510.6123935063</v>
      </c>
      <c r="U80" s="250">
        <f t="shared" si="7"/>
        <v>116928.54166666667</v>
      </c>
      <c r="V80" s="250">
        <f t="shared" si="8"/>
        <v>-1283.96</v>
      </c>
      <c r="W80" s="251">
        <f t="shared" si="9"/>
        <v>1355155.1940601731</v>
      </c>
      <c r="X80" s="233">
        <f t="shared" si="10"/>
        <v>2356.7916418437794</v>
      </c>
      <c r="Y80" s="252">
        <f t="shared" si="11"/>
        <v>0.68743353706001464</v>
      </c>
    </row>
    <row r="81" spans="1:25" x14ac:dyDescent="0.25">
      <c r="A81" s="108">
        <f>Données!A81</f>
        <v>5531</v>
      </c>
      <c r="B81" s="116" t="str">
        <f>Données!B81</f>
        <v>Penthéréaz</v>
      </c>
      <c r="C81" s="246">
        <f>Données!C81</f>
        <v>446</v>
      </c>
      <c r="D81" s="247">
        <f>Données!D81</f>
        <v>74</v>
      </c>
      <c r="E81" s="248">
        <f>Données!E81</f>
        <v>1</v>
      </c>
      <c r="F81" s="249">
        <f>Données!F81</f>
        <v>750325.90999999992</v>
      </c>
      <c r="G81" s="249">
        <f>Données!G81</f>
        <v>41543.730000000003</v>
      </c>
      <c r="H81" s="249">
        <f>Données!H81</f>
        <v>18035.75</v>
      </c>
      <c r="I81" s="249">
        <f>Données!I81</f>
        <v>1606.85</v>
      </c>
      <c r="J81" s="249">
        <f>Données!J81</f>
        <v>0</v>
      </c>
      <c r="K81" s="249">
        <f>Données!K81</f>
        <v>0</v>
      </c>
      <c r="L81" s="249">
        <f>Données!L81</f>
        <v>-4379.67</v>
      </c>
      <c r="M81" s="249">
        <f>Données!M81</f>
        <v>0</v>
      </c>
      <c r="N81" s="249">
        <f>Données!N81</f>
        <v>1867.5625874167747</v>
      </c>
      <c r="O81" s="249">
        <f>Données!O81</f>
        <v>95517.55</v>
      </c>
      <c r="P81" s="249">
        <f>Données!P81</f>
        <v>12943.1</v>
      </c>
      <c r="Q81" s="249">
        <f>Données!Q81</f>
        <v>1739.3</v>
      </c>
      <c r="R81" s="249">
        <f>Données!R81</f>
        <v>-1279.9000000000001</v>
      </c>
      <c r="S81" s="241"/>
      <c r="T81" s="233">
        <f t="shared" si="6"/>
        <v>736803.99143208726</v>
      </c>
      <c r="U81" s="250">
        <f t="shared" si="7"/>
        <v>95517.55</v>
      </c>
      <c r="V81" s="250">
        <f t="shared" si="8"/>
        <v>13402.5</v>
      </c>
      <c r="W81" s="251">
        <f t="shared" si="9"/>
        <v>845724.04143208731</v>
      </c>
      <c r="X81" s="233">
        <f t="shared" si="10"/>
        <v>1896.2422453634244</v>
      </c>
      <c r="Y81" s="252">
        <f t="shared" si="11"/>
        <v>0.55309959977327883</v>
      </c>
    </row>
    <row r="82" spans="1:25" x14ac:dyDescent="0.25">
      <c r="A82" s="108">
        <f>Données!A82</f>
        <v>5533</v>
      </c>
      <c r="B82" s="116" t="str">
        <f>Données!B82</f>
        <v>Poliez-Pittet</v>
      </c>
      <c r="C82" s="246">
        <f>Données!C82</f>
        <v>847</v>
      </c>
      <c r="D82" s="247">
        <f>Données!D82</f>
        <v>73</v>
      </c>
      <c r="E82" s="248">
        <f>Données!E82</f>
        <v>1</v>
      </c>
      <c r="F82" s="249">
        <f>Données!F82</f>
        <v>1780465.26</v>
      </c>
      <c r="G82" s="249">
        <f>Données!G82</f>
        <v>253087.61</v>
      </c>
      <c r="H82" s="249">
        <f>Données!H82</f>
        <v>93477.25</v>
      </c>
      <c r="I82" s="249">
        <f>Données!I82</f>
        <v>5581.85</v>
      </c>
      <c r="J82" s="249">
        <f>Données!J82</f>
        <v>0</v>
      </c>
      <c r="K82" s="249">
        <f>Données!K82</f>
        <v>258.41000000000003</v>
      </c>
      <c r="L82" s="249">
        <f>Données!L82</f>
        <v>-15460.01</v>
      </c>
      <c r="M82" s="249">
        <f>Données!M82</f>
        <v>0</v>
      </c>
      <c r="N82" s="249">
        <f>Données!N82</f>
        <v>9418.2577206264468</v>
      </c>
      <c r="O82" s="249">
        <f>Données!O82</f>
        <v>170028.35</v>
      </c>
      <c r="P82" s="249">
        <f>Données!P82</f>
        <v>58419.72</v>
      </c>
      <c r="Q82" s="249">
        <f>Données!Q82</f>
        <v>9481.15</v>
      </c>
      <c r="R82" s="249">
        <f>Données!R82</f>
        <v>-261.39999999999998</v>
      </c>
      <c r="S82" s="241"/>
      <c r="T82" s="233">
        <f t="shared" si="6"/>
        <v>1963562.5213380062</v>
      </c>
      <c r="U82" s="250">
        <f t="shared" si="7"/>
        <v>170028.35</v>
      </c>
      <c r="V82" s="250">
        <f t="shared" si="8"/>
        <v>67639.47</v>
      </c>
      <c r="W82" s="251">
        <f t="shared" si="9"/>
        <v>2201230.3413380063</v>
      </c>
      <c r="X82" s="233">
        <f t="shared" si="10"/>
        <v>2598.85518457852</v>
      </c>
      <c r="Y82" s="252">
        <f t="shared" si="11"/>
        <v>0.75803909862982721</v>
      </c>
    </row>
    <row r="83" spans="1:25" x14ac:dyDescent="0.25">
      <c r="A83" s="108">
        <f>Données!A83</f>
        <v>5534</v>
      </c>
      <c r="B83" s="116" t="str">
        <f>Données!B83</f>
        <v>Rueyres</v>
      </c>
      <c r="C83" s="246">
        <f>Données!C83</f>
        <v>302</v>
      </c>
      <c r="D83" s="247">
        <f>Données!D83</f>
        <v>73</v>
      </c>
      <c r="E83" s="248">
        <f>Données!E83</f>
        <v>1</v>
      </c>
      <c r="F83" s="249">
        <f>Données!F83</f>
        <v>548447.9</v>
      </c>
      <c r="G83" s="249">
        <f>Données!G83</f>
        <v>180307.49</v>
      </c>
      <c r="H83" s="249">
        <f>Données!H83</f>
        <v>68938.45</v>
      </c>
      <c r="I83" s="249">
        <f>Données!I83</f>
        <v>6141.85</v>
      </c>
      <c r="J83" s="249">
        <f>Données!J83</f>
        <v>0</v>
      </c>
      <c r="K83" s="249">
        <f>Données!K83</f>
        <v>693.83</v>
      </c>
      <c r="L83" s="249">
        <f>Données!L83</f>
        <v>-2596.0100000000002</v>
      </c>
      <c r="M83" s="249">
        <f>Données!M83</f>
        <v>0</v>
      </c>
      <c r="N83" s="249">
        <f>Données!N83</f>
        <v>7138.4215598763749</v>
      </c>
      <c r="O83" s="249">
        <f>Données!O83</f>
        <v>87066.5</v>
      </c>
      <c r="P83" s="249">
        <f>Données!P83</f>
        <v>-327.66000000000003</v>
      </c>
      <c r="Q83" s="249">
        <f>Données!Q83</f>
        <v>864.3</v>
      </c>
      <c r="R83" s="249">
        <f>Données!R83</f>
        <v>-31.15</v>
      </c>
      <c r="S83" s="241"/>
      <c r="T83" s="233">
        <f t="shared" si="6"/>
        <v>746963.48411490489</v>
      </c>
      <c r="U83" s="250">
        <f t="shared" si="7"/>
        <v>87066.5</v>
      </c>
      <c r="V83" s="250">
        <f t="shared" si="8"/>
        <v>505.4899999999999</v>
      </c>
      <c r="W83" s="251">
        <f t="shared" si="9"/>
        <v>834535.47411490488</v>
      </c>
      <c r="X83" s="233">
        <f t="shared" si="10"/>
        <v>2763.3624970692213</v>
      </c>
      <c r="Y83" s="252">
        <f t="shared" si="11"/>
        <v>0.80602290920090025</v>
      </c>
    </row>
    <row r="84" spans="1:25" x14ac:dyDescent="0.25">
      <c r="A84" s="108">
        <f>Données!A84</f>
        <v>5535</v>
      </c>
      <c r="B84" s="116" t="str">
        <f>Données!B84</f>
        <v>Saint-Barthélemy</v>
      </c>
      <c r="C84" s="246">
        <f>Données!C84</f>
        <v>838</v>
      </c>
      <c r="D84" s="247">
        <f>Données!D84</f>
        <v>75</v>
      </c>
      <c r="E84" s="248">
        <f>Données!E84</f>
        <v>1</v>
      </c>
      <c r="F84" s="249">
        <f>Données!F84</f>
        <v>1510821.79</v>
      </c>
      <c r="G84" s="249">
        <f>Données!G84</f>
        <v>256417.59</v>
      </c>
      <c r="H84" s="249">
        <f>Données!H84</f>
        <v>12705.8</v>
      </c>
      <c r="I84" s="249">
        <f>Données!I84</f>
        <v>1388.95</v>
      </c>
      <c r="J84" s="249">
        <f>Données!J84</f>
        <v>0</v>
      </c>
      <c r="K84" s="249">
        <f>Données!K84</f>
        <v>524.71</v>
      </c>
      <c r="L84" s="249">
        <f>Données!L84</f>
        <v>-8194.02</v>
      </c>
      <c r="M84" s="249">
        <f>Données!M84</f>
        <v>0</v>
      </c>
      <c r="N84" s="249">
        <f>Données!N84</f>
        <v>1340.0887753654092</v>
      </c>
      <c r="O84" s="249">
        <f>Données!O84</f>
        <v>160725.20000000001</v>
      </c>
      <c r="P84" s="249">
        <f>Données!P84</f>
        <v>7324.16</v>
      </c>
      <c r="Q84" s="249">
        <f>Données!Q84</f>
        <v>1739.3</v>
      </c>
      <c r="R84" s="249">
        <f>Données!R84</f>
        <v>-656.7</v>
      </c>
      <c r="S84" s="241"/>
      <c r="T84" s="233">
        <f t="shared" si="6"/>
        <v>1595046.659364843</v>
      </c>
      <c r="U84" s="250">
        <f t="shared" si="7"/>
        <v>160725.20000000001</v>
      </c>
      <c r="V84" s="250">
        <f t="shared" si="8"/>
        <v>8406.7599999999984</v>
      </c>
      <c r="W84" s="251">
        <f t="shared" si="9"/>
        <v>1764178.619364843</v>
      </c>
      <c r="X84" s="233">
        <f t="shared" si="10"/>
        <v>2105.2250827742755</v>
      </c>
      <c r="Y84" s="252">
        <f t="shared" si="11"/>
        <v>0.61405611733534415</v>
      </c>
    </row>
    <row r="85" spans="1:25" x14ac:dyDescent="0.25">
      <c r="A85" s="108">
        <f>Données!A85</f>
        <v>5537</v>
      </c>
      <c r="B85" s="116" t="str">
        <f>Données!B85</f>
        <v>Villars-le-Terroir</v>
      </c>
      <c r="C85" s="246">
        <f>Données!C85</f>
        <v>1334</v>
      </c>
      <c r="D85" s="247">
        <f>Données!D85</f>
        <v>76</v>
      </c>
      <c r="E85" s="248">
        <f>Données!E85</f>
        <v>1</v>
      </c>
      <c r="F85" s="249">
        <f>Données!F85</f>
        <v>2416515.2400000002</v>
      </c>
      <c r="G85" s="249">
        <f>Données!G85</f>
        <v>301003.55</v>
      </c>
      <c r="H85" s="249">
        <f>Données!H85</f>
        <v>64257.65</v>
      </c>
      <c r="I85" s="249">
        <f>Données!I85</f>
        <v>2388.85</v>
      </c>
      <c r="J85" s="249">
        <f>Données!J85</f>
        <v>0</v>
      </c>
      <c r="K85" s="249">
        <f>Données!K85</f>
        <v>0</v>
      </c>
      <c r="L85" s="249">
        <f>Données!L85</f>
        <v>-19313.62</v>
      </c>
      <c r="M85" s="249">
        <f>Données!M85</f>
        <v>0</v>
      </c>
      <c r="N85" s="249">
        <f>Données!N85</f>
        <v>6336.559823153355</v>
      </c>
      <c r="O85" s="249">
        <f>Données!O85</f>
        <v>269453.5</v>
      </c>
      <c r="P85" s="249">
        <f>Données!P85</f>
        <v>44416.3</v>
      </c>
      <c r="Q85" s="249">
        <f>Données!Q85</f>
        <v>6968.25</v>
      </c>
      <c r="R85" s="249">
        <f>Données!R85</f>
        <v>-425.45</v>
      </c>
      <c r="S85" s="241"/>
      <c r="T85" s="233">
        <f t="shared" si="6"/>
        <v>2457466.0699368254</v>
      </c>
      <c r="U85" s="250">
        <f t="shared" si="7"/>
        <v>269453.5</v>
      </c>
      <c r="V85" s="250">
        <f t="shared" si="8"/>
        <v>50959.100000000006</v>
      </c>
      <c r="W85" s="251">
        <f t="shared" si="9"/>
        <v>2777878.6699368255</v>
      </c>
      <c r="X85" s="233">
        <f t="shared" si="10"/>
        <v>2082.3678185433473</v>
      </c>
      <c r="Y85" s="252">
        <f t="shared" si="11"/>
        <v>0.60738906636706691</v>
      </c>
    </row>
    <row r="86" spans="1:25" x14ac:dyDescent="0.25">
      <c r="A86" s="108">
        <f>Données!A86</f>
        <v>5539</v>
      </c>
      <c r="B86" s="116" t="str">
        <f>Données!B86</f>
        <v>Vuarrens</v>
      </c>
      <c r="C86" s="246">
        <f>Données!C86</f>
        <v>1113</v>
      </c>
      <c r="D86" s="247">
        <f>Données!D86</f>
        <v>73.5</v>
      </c>
      <c r="E86" s="248">
        <f>Données!E86</f>
        <v>0.8</v>
      </c>
      <c r="F86" s="249">
        <f>Données!F86</f>
        <v>2248982.73</v>
      </c>
      <c r="G86" s="249">
        <f>Données!G86</f>
        <v>260147.45</v>
      </c>
      <c r="H86" s="249">
        <f>Données!H86</f>
        <v>22504.15</v>
      </c>
      <c r="I86" s="249">
        <f>Données!I86</f>
        <v>2433.65</v>
      </c>
      <c r="J86" s="249">
        <f>Données!J86</f>
        <v>0</v>
      </c>
      <c r="K86" s="249">
        <f>Données!K86</f>
        <v>4212.42</v>
      </c>
      <c r="L86" s="249">
        <f>Données!L86</f>
        <v>-52485.43</v>
      </c>
      <c r="M86" s="249">
        <f>Données!M86</f>
        <v>0</v>
      </c>
      <c r="N86" s="249">
        <f>Données!N86</f>
        <v>2371.0151554520303</v>
      </c>
      <c r="O86" s="249">
        <f>Données!O86</f>
        <v>189543.55</v>
      </c>
      <c r="P86" s="249">
        <f>Données!P86</f>
        <v>31897.75</v>
      </c>
      <c r="Q86" s="249">
        <f>Données!Q86</f>
        <v>6636.2</v>
      </c>
      <c r="R86" s="249">
        <f>Données!R86</f>
        <v>-137.80000000000001</v>
      </c>
      <c r="S86" s="241"/>
      <c r="T86" s="233">
        <f t="shared" si="6"/>
        <v>2281534.8473792607</v>
      </c>
      <c r="U86" s="250">
        <f t="shared" si="7"/>
        <v>236929.43749999997</v>
      </c>
      <c r="V86" s="250">
        <f t="shared" si="8"/>
        <v>38396.149999999994</v>
      </c>
      <c r="W86" s="251">
        <f t="shared" si="9"/>
        <v>2556860.4348792606</v>
      </c>
      <c r="X86" s="233">
        <f t="shared" si="10"/>
        <v>2297.2690340334775</v>
      </c>
      <c r="Y86" s="252">
        <f t="shared" si="11"/>
        <v>0.67007186787569051</v>
      </c>
    </row>
    <row r="87" spans="1:25" x14ac:dyDescent="0.25">
      <c r="A87" s="108">
        <f>Données!A87</f>
        <v>5540</v>
      </c>
      <c r="B87" s="116" t="str">
        <f>Données!B87</f>
        <v>Montilliez</v>
      </c>
      <c r="C87" s="246">
        <f>Données!C87</f>
        <v>1856</v>
      </c>
      <c r="D87" s="247">
        <f>Données!D87</f>
        <v>72.5</v>
      </c>
      <c r="E87" s="248">
        <f>Données!E87</f>
        <v>0.8</v>
      </c>
      <c r="F87" s="249">
        <f>Données!F87</f>
        <v>3579808.07</v>
      </c>
      <c r="G87" s="249">
        <f>Données!G87</f>
        <v>622619.18999999994</v>
      </c>
      <c r="H87" s="249">
        <f>Données!H87</f>
        <v>140218.70000000001</v>
      </c>
      <c r="I87" s="249">
        <f>Données!I87</f>
        <v>10031.200000000001</v>
      </c>
      <c r="J87" s="249">
        <f>Données!J87</f>
        <v>0</v>
      </c>
      <c r="K87" s="249">
        <f>Données!K87</f>
        <v>14407.62</v>
      </c>
      <c r="L87" s="249">
        <f>Données!L87</f>
        <v>-89187.58</v>
      </c>
      <c r="M87" s="249">
        <f>Données!M87</f>
        <v>0</v>
      </c>
      <c r="N87" s="249">
        <f>Données!N87</f>
        <v>14285.333509978909</v>
      </c>
      <c r="O87" s="249">
        <f>Données!O87</f>
        <v>302081.34999999998</v>
      </c>
      <c r="P87" s="249">
        <f>Données!P87</f>
        <v>72824.94</v>
      </c>
      <c r="Q87" s="249">
        <f>Données!Q87</f>
        <v>14558.5</v>
      </c>
      <c r="R87" s="249">
        <f>Données!R87</f>
        <v>-1075.05</v>
      </c>
      <c r="S87" s="241"/>
      <c r="T87" s="233">
        <f t="shared" si="6"/>
        <v>3990021.8425695915</v>
      </c>
      <c r="U87" s="250">
        <f t="shared" si="7"/>
        <v>377601.68749999994</v>
      </c>
      <c r="V87" s="250">
        <f t="shared" si="8"/>
        <v>86308.39</v>
      </c>
      <c r="W87" s="251">
        <f t="shared" si="9"/>
        <v>4453931.9200695911</v>
      </c>
      <c r="X87" s="233">
        <f t="shared" si="10"/>
        <v>2399.7478017616331</v>
      </c>
      <c r="Y87" s="252">
        <f t="shared" si="11"/>
        <v>0.69996307273324199</v>
      </c>
    </row>
    <row r="88" spans="1:25" x14ac:dyDescent="0.25">
      <c r="A88" s="108">
        <f>Données!A88</f>
        <v>5541</v>
      </c>
      <c r="B88" s="116" t="str">
        <f>Données!B88</f>
        <v>Goumoëns</v>
      </c>
      <c r="C88" s="246">
        <f>Données!C88</f>
        <v>1251</v>
      </c>
      <c r="D88" s="247">
        <f>Données!D88</f>
        <v>75.5</v>
      </c>
      <c r="E88" s="248">
        <f>Données!E88</f>
        <v>1</v>
      </c>
      <c r="F88" s="249">
        <f>Données!F88</f>
        <v>2414355.35</v>
      </c>
      <c r="G88" s="249">
        <f>Données!G88</f>
        <v>354041.17</v>
      </c>
      <c r="H88" s="249">
        <f>Données!H88</f>
        <v>8042.45</v>
      </c>
      <c r="I88" s="249">
        <f>Données!I88</f>
        <v>7852.7</v>
      </c>
      <c r="J88" s="249">
        <f>Données!J88</f>
        <v>0</v>
      </c>
      <c r="K88" s="249">
        <f>Données!K88</f>
        <v>46596.97</v>
      </c>
      <c r="L88" s="249">
        <f>Données!L88</f>
        <v>-35357.050000000003</v>
      </c>
      <c r="M88" s="249">
        <f>Données!M88</f>
        <v>0</v>
      </c>
      <c r="N88" s="249">
        <f>Données!N88</f>
        <v>1511.2656909664579</v>
      </c>
      <c r="O88" s="249">
        <f>Données!O88</f>
        <v>249469.35</v>
      </c>
      <c r="P88" s="249">
        <f>Données!P88</f>
        <v>37470.28</v>
      </c>
      <c r="Q88" s="249">
        <f>Données!Q88</f>
        <v>4053.95</v>
      </c>
      <c r="R88" s="249">
        <f>Données!R88</f>
        <v>-150.15</v>
      </c>
      <c r="S88" s="241"/>
      <c r="T88" s="233">
        <f t="shared" si="6"/>
        <v>2496820.180038387</v>
      </c>
      <c r="U88" s="250">
        <f t="shared" si="7"/>
        <v>249469.35</v>
      </c>
      <c r="V88" s="250">
        <f t="shared" si="8"/>
        <v>41374.079999999994</v>
      </c>
      <c r="W88" s="251">
        <f t="shared" si="9"/>
        <v>2787663.6100383871</v>
      </c>
      <c r="X88" s="233">
        <f t="shared" si="10"/>
        <v>2228.348209463139</v>
      </c>
      <c r="Y88" s="252">
        <f t="shared" si="11"/>
        <v>0.64996890867883284</v>
      </c>
    </row>
    <row r="89" spans="1:25" x14ac:dyDescent="0.25">
      <c r="A89" s="108">
        <f>Données!A89</f>
        <v>5551</v>
      </c>
      <c r="B89" s="116" t="str">
        <f>Données!B89</f>
        <v>Bonvillars</v>
      </c>
      <c r="C89" s="246">
        <f>Données!C89</f>
        <v>517</v>
      </c>
      <c r="D89" s="247">
        <f>Données!D89</f>
        <v>67</v>
      </c>
      <c r="E89" s="248">
        <f>Données!E89</f>
        <v>1</v>
      </c>
      <c r="F89" s="249">
        <f>Données!F89</f>
        <v>960154.15</v>
      </c>
      <c r="G89" s="249">
        <f>Données!G89</f>
        <v>194502.16</v>
      </c>
      <c r="H89" s="249">
        <f>Données!H89</f>
        <v>127950.65</v>
      </c>
      <c r="I89" s="249">
        <f>Données!I89</f>
        <v>36890.25</v>
      </c>
      <c r="J89" s="249">
        <f>Données!J89</f>
        <v>0</v>
      </c>
      <c r="K89" s="249">
        <f>Données!K89</f>
        <v>0</v>
      </c>
      <c r="L89" s="249">
        <f>Données!L89</f>
        <v>-7203.65</v>
      </c>
      <c r="M89" s="249">
        <f>Données!M89</f>
        <v>0</v>
      </c>
      <c r="N89" s="249">
        <f>Données!N89</f>
        <v>15672.604325094937</v>
      </c>
      <c r="O89" s="249">
        <f>Données!O89</f>
        <v>126860.35</v>
      </c>
      <c r="P89" s="249">
        <f>Données!P89</f>
        <v>3448.6</v>
      </c>
      <c r="Q89" s="249">
        <f>Données!Q89</f>
        <v>12501.2</v>
      </c>
      <c r="R89" s="249">
        <f>Données!R89</f>
        <v>-91.5</v>
      </c>
      <c r="S89" s="241"/>
      <c r="T89" s="233">
        <f t="shared" si="6"/>
        <v>1335818.0384886775</v>
      </c>
      <c r="U89" s="250">
        <f t="shared" si="7"/>
        <v>126860.35</v>
      </c>
      <c r="V89" s="250">
        <f t="shared" si="8"/>
        <v>15858.300000000001</v>
      </c>
      <c r="W89" s="251">
        <f t="shared" si="9"/>
        <v>1478536.6884886776</v>
      </c>
      <c r="X89" s="233">
        <f t="shared" si="10"/>
        <v>2859.8388558775196</v>
      </c>
      <c r="Y89" s="252">
        <f t="shared" si="11"/>
        <v>0.83416331983405012</v>
      </c>
    </row>
    <row r="90" spans="1:25" x14ac:dyDescent="0.25">
      <c r="A90" s="108">
        <f>Données!A90</f>
        <v>5552</v>
      </c>
      <c r="B90" s="116" t="str">
        <f>Données!B90</f>
        <v>Bullet</v>
      </c>
      <c r="C90" s="246">
        <f>Données!C90</f>
        <v>687</v>
      </c>
      <c r="D90" s="247">
        <f>Données!D90</f>
        <v>72</v>
      </c>
      <c r="E90" s="248">
        <f>Données!E90</f>
        <v>1</v>
      </c>
      <c r="F90" s="249">
        <f>Données!F90</f>
        <v>997084.03</v>
      </c>
      <c r="G90" s="249">
        <f>Données!G90</f>
        <v>276876.31</v>
      </c>
      <c r="H90" s="249">
        <f>Données!H90</f>
        <v>59284.5</v>
      </c>
      <c r="I90" s="249">
        <f>Données!I90</f>
        <v>2709.9</v>
      </c>
      <c r="J90" s="249">
        <f>Données!J90</f>
        <v>0</v>
      </c>
      <c r="K90" s="249">
        <f>Données!K90</f>
        <v>12855.69</v>
      </c>
      <c r="L90" s="249">
        <f>Données!L90</f>
        <v>-51036.86</v>
      </c>
      <c r="M90" s="249">
        <f>Données!M90</f>
        <v>0</v>
      </c>
      <c r="N90" s="249">
        <f>Données!N90</f>
        <v>5894.2513755485788</v>
      </c>
      <c r="O90" s="249">
        <f>Données!O90</f>
        <v>146632.15</v>
      </c>
      <c r="P90" s="249">
        <f>Données!P90</f>
        <v>18429.05</v>
      </c>
      <c r="Q90" s="249">
        <f>Données!Q90</f>
        <v>-679.35</v>
      </c>
      <c r="R90" s="249">
        <f>Données!R90</f>
        <v>-479.7</v>
      </c>
      <c r="S90" s="241"/>
      <c r="T90" s="233">
        <f t="shared" si="6"/>
        <v>1220308.2469461346</v>
      </c>
      <c r="U90" s="250">
        <f t="shared" si="7"/>
        <v>146632.15</v>
      </c>
      <c r="V90" s="250">
        <f t="shared" si="8"/>
        <v>17270</v>
      </c>
      <c r="W90" s="251">
        <f t="shared" si="9"/>
        <v>1384210.3969461345</v>
      </c>
      <c r="X90" s="233">
        <f t="shared" si="10"/>
        <v>2014.8622954092205</v>
      </c>
      <c r="Y90" s="252">
        <f t="shared" si="11"/>
        <v>0.58769892502607202</v>
      </c>
    </row>
    <row r="91" spans="1:25" x14ac:dyDescent="0.25">
      <c r="A91" s="108">
        <f>Données!A91</f>
        <v>5553</v>
      </c>
      <c r="B91" s="116" t="str">
        <f>Données!B91</f>
        <v>Champagne</v>
      </c>
      <c r="C91" s="246">
        <f>Données!C91</f>
        <v>1087</v>
      </c>
      <c r="D91" s="247">
        <f>Données!D91</f>
        <v>65</v>
      </c>
      <c r="E91" s="248">
        <f>Données!E91</f>
        <v>1</v>
      </c>
      <c r="F91" s="249">
        <f>Données!F91</f>
        <v>1803309.09</v>
      </c>
      <c r="G91" s="249">
        <f>Données!G91</f>
        <v>398433.63</v>
      </c>
      <c r="H91" s="249">
        <f>Données!H91</f>
        <v>293014.75</v>
      </c>
      <c r="I91" s="249">
        <f>Données!I91</f>
        <v>-2288.6</v>
      </c>
      <c r="J91" s="249">
        <f>Données!J91</f>
        <v>0</v>
      </c>
      <c r="K91" s="249">
        <f>Données!K91</f>
        <v>1651.92</v>
      </c>
      <c r="L91" s="249">
        <f>Données!L91</f>
        <v>-14610.8</v>
      </c>
      <c r="M91" s="249">
        <f>Données!M91</f>
        <v>0</v>
      </c>
      <c r="N91" s="249">
        <f>Données!N91</f>
        <v>27641.416152837071</v>
      </c>
      <c r="O91" s="249">
        <f>Données!O91</f>
        <v>260645.75</v>
      </c>
      <c r="P91" s="249">
        <f>Données!P91</f>
        <v>30516.57</v>
      </c>
      <c r="Q91" s="249">
        <f>Données!Q91</f>
        <v>38097.050000000003</v>
      </c>
      <c r="R91" s="249">
        <f>Données!R91</f>
        <v>-3250.35</v>
      </c>
      <c r="S91" s="241"/>
      <c r="T91" s="233">
        <f t="shared" si="6"/>
        <v>2599574.7013703999</v>
      </c>
      <c r="U91" s="250">
        <f t="shared" si="7"/>
        <v>260645.75</v>
      </c>
      <c r="V91" s="250">
        <f t="shared" si="8"/>
        <v>65363.27</v>
      </c>
      <c r="W91" s="251">
        <f t="shared" si="9"/>
        <v>2925583.7213703999</v>
      </c>
      <c r="X91" s="233">
        <f t="shared" si="10"/>
        <v>2691.4293664861084</v>
      </c>
      <c r="Y91" s="252">
        <f t="shared" si="11"/>
        <v>0.78504131476947059</v>
      </c>
    </row>
    <row r="92" spans="1:25" x14ac:dyDescent="0.25">
      <c r="A92" s="108">
        <f>Données!A92</f>
        <v>5554</v>
      </c>
      <c r="B92" s="116" t="str">
        <f>Données!B92</f>
        <v>Concise</v>
      </c>
      <c r="C92" s="246">
        <f>Données!C92</f>
        <v>1035</v>
      </c>
      <c r="D92" s="247">
        <f>Données!D92</f>
        <v>69</v>
      </c>
      <c r="E92" s="248">
        <f>Données!E92</f>
        <v>1</v>
      </c>
      <c r="F92" s="249">
        <f>Données!F92</f>
        <v>1840846.1</v>
      </c>
      <c r="G92" s="249">
        <f>Données!G92</f>
        <v>314055.2</v>
      </c>
      <c r="H92" s="249">
        <f>Données!H92</f>
        <v>-14801.6</v>
      </c>
      <c r="I92" s="249">
        <f>Données!I92</f>
        <v>2306.15</v>
      </c>
      <c r="J92" s="249">
        <f>Données!J92</f>
        <v>0</v>
      </c>
      <c r="K92" s="249">
        <f>Données!K92</f>
        <v>26872.85</v>
      </c>
      <c r="L92" s="249">
        <f>Données!L92</f>
        <v>-23344.85</v>
      </c>
      <c r="M92" s="249">
        <f>Données!M92</f>
        <v>0</v>
      </c>
      <c r="N92" s="249">
        <f>Données!N92</f>
        <v>-1188.0318762758973</v>
      </c>
      <c r="O92" s="249">
        <f>Données!O92</f>
        <v>203467.1</v>
      </c>
      <c r="P92" s="249">
        <f>Données!P92</f>
        <v>35538.03</v>
      </c>
      <c r="Q92" s="249">
        <f>Données!Q92</f>
        <v>5308</v>
      </c>
      <c r="R92" s="249">
        <f>Données!R92</f>
        <v>-2232.1</v>
      </c>
      <c r="S92" s="241"/>
      <c r="T92" s="233">
        <f t="shared" si="6"/>
        <v>2094892.952660599</v>
      </c>
      <c r="U92" s="250">
        <f t="shared" si="7"/>
        <v>203467.1</v>
      </c>
      <c r="V92" s="250">
        <f t="shared" si="8"/>
        <v>38613.93</v>
      </c>
      <c r="W92" s="251">
        <f t="shared" si="9"/>
        <v>2336973.9826605991</v>
      </c>
      <c r="X92" s="233">
        <f t="shared" si="10"/>
        <v>2257.9458769667622</v>
      </c>
      <c r="Y92" s="252">
        <f t="shared" si="11"/>
        <v>0.65860201348941527</v>
      </c>
    </row>
    <row r="93" spans="1:25" x14ac:dyDescent="0.25">
      <c r="A93" s="108">
        <f>Données!A93</f>
        <v>5555</v>
      </c>
      <c r="B93" s="116" t="str">
        <f>Données!B93</f>
        <v>Corcelles-près-Concise</v>
      </c>
      <c r="C93" s="246">
        <f>Données!C93</f>
        <v>439</v>
      </c>
      <c r="D93" s="247">
        <f>Données!D93</f>
        <v>69</v>
      </c>
      <c r="E93" s="248">
        <f>Données!E93</f>
        <v>1</v>
      </c>
      <c r="F93" s="249">
        <f>Données!F93</f>
        <v>750376.85</v>
      </c>
      <c r="G93" s="249">
        <f>Données!G93</f>
        <v>186079.15</v>
      </c>
      <c r="H93" s="249">
        <f>Données!H93</f>
        <v>10110.35</v>
      </c>
      <c r="I93" s="249">
        <f>Données!I93</f>
        <v>26035.1</v>
      </c>
      <c r="J93" s="249">
        <f>Données!J93</f>
        <v>0</v>
      </c>
      <c r="K93" s="249">
        <f>Données!K93</f>
        <v>58.02</v>
      </c>
      <c r="L93" s="249">
        <f>Données!L93</f>
        <v>-15066.97</v>
      </c>
      <c r="M93" s="249">
        <f>Données!M93</f>
        <v>0</v>
      </c>
      <c r="N93" s="249">
        <f>Données!N93</f>
        <v>3436.6066674138688</v>
      </c>
      <c r="O93" s="249">
        <f>Données!O93</f>
        <v>102725.45</v>
      </c>
      <c r="P93" s="249">
        <f>Données!P93</f>
        <v>10901.46</v>
      </c>
      <c r="Q93" s="249">
        <f>Données!Q93</f>
        <v>2186.3000000000002</v>
      </c>
      <c r="R93" s="249">
        <f>Données!R93</f>
        <v>-1579.9</v>
      </c>
      <c r="S93" s="241"/>
      <c r="T93" s="233">
        <f t="shared" si="6"/>
        <v>938690.76971578808</v>
      </c>
      <c r="U93" s="250">
        <f t="shared" si="7"/>
        <v>102725.45</v>
      </c>
      <c r="V93" s="250">
        <f t="shared" si="8"/>
        <v>11507.859999999999</v>
      </c>
      <c r="W93" s="251">
        <f t="shared" si="9"/>
        <v>1052924.0797157881</v>
      </c>
      <c r="X93" s="233">
        <f t="shared" si="10"/>
        <v>2398.4603182591986</v>
      </c>
      <c r="Y93" s="252">
        <f t="shared" si="11"/>
        <v>0.69958753705912002</v>
      </c>
    </row>
    <row r="94" spans="1:25" x14ac:dyDescent="0.25">
      <c r="A94" s="108">
        <f>Données!A94</f>
        <v>5556</v>
      </c>
      <c r="B94" s="116" t="str">
        <f>Données!B94</f>
        <v>Fiez</v>
      </c>
      <c r="C94" s="246">
        <f>Données!C94</f>
        <v>421</v>
      </c>
      <c r="D94" s="247">
        <f>Données!D94</f>
        <v>69</v>
      </c>
      <c r="E94" s="248">
        <f>Données!E94</f>
        <v>1.2</v>
      </c>
      <c r="F94" s="249">
        <f>Données!F94</f>
        <v>790161.76</v>
      </c>
      <c r="G94" s="249">
        <f>Données!G94</f>
        <v>78917.08</v>
      </c>
      <c r="H94" s="249">
        <f>Données!H94</f>
        <v>31680.400000000001</v>
      </c>
      <c r="I94" s="249">
        <f>Données!I94</f>
        <v>847.5</v>
      </c>
      <c r="J94" s="249">
        <f>Données!J94</f>
        <v>0</v>
      </c>
      <c r="K94" s="249">
        <f>Données!K94</f>
        <v>0</v>
      </c>
      <c r="L94" s="249">
        <f>Données!L94</f>
        <v>-164.38</v>
      </c>
      <c r="M94" s="249">
        <f>Données!M94</f>
        <v>0</v>
      </c>
      <c r="N94" s="249">
        <f>Données!N94</f>
        <v>3092.6602938121282</v>
      </c>
      <c r="O94" s="249">
        <f>Données!O94</f>
        <v>94938.84</v>
      </c>
      <c r="P94" s="249">
        <f>Données!P94</f>
        <v>3331.16</v>
      </c>
      <c r="Q94" s="249">
        <f>Données!Q94</f>
        <v>2161.65</v>
      </c>
      <c r="R94" s="249">
        <f>Données!R94</f>
        <v>-24.25</v>
      </c>
      <c r="S94" s="241"/>
      <c r="T94" s="233">
        <f t="shared" si="6"/>
        <v>883509.84225530608</v>
      </c>
      <c r="U94" s="250">
        <f t="shared" si="7"/>
        <v>79115.7</v>
      </c>
      <c r="V94" s="250">
        <f t="shared" si="8"/>
        <v>5468.5599999999995</v>
      </c>
      <c r="W94" s="251">
        <f t="shared" si="9"/>
        <v>968094.10225530609</v>
      </c>
      <c r="X94" s="233">
        <f t="shared" si="10"/>
        <v>2299.5109317228175</v>
      </c>
      <c r="Y94" s="252">
        <f t="shared" si="11"/>
        <v>0.67072578892282386</v>
      </c>
    </row>
    <row r="95" spans="1:25" x14ac:dyDescent="0.25">
      <c r="A95" s="108">
        <f>Données!A95</f>
        <v>5557</v>
      </c>
      <c r="B95" s="116" t="str">
        <f>Données!B95</f>
        <v>Fontaines-sur-Grandson</v>
      </c>
      <c r="C95" s="246">
        <f>Données!C95</f>
        <v>228</v>
      </c>
      <c r="D95" s="247">
        <f>Données!D95</f>
        <v>72</v>
      </c>
      <c r="E95" s="248">
        <f>Données!E95</f>
        <v>1</v>
      </c>
      <c r="F95" s="249">
        <f>Données!F95</f>
        <v>367279.58</v>
      </c>
      <c r="G95" s="249">
        <f>Données!G95</f>
        <v>51830.239999999998</v>
      </c>
      <c r="H95" s="249">
        <f>Données!H95</f>
        <v>45.800000000000097</v>
      </c>
      <c r="I95" s="249">
        <f>Données!I95</f>
        <v>873.95</v>
      </c>
      <c r="J95" s="249">
        <f>Données!J95</f>
        <v>0</v>
      </c>
      <c r="K95" s="249">
        <f>Données!K95</f>
        <v>2197.17</v>
      </c>
      <c r="L95" s="249">
        <f>Données!L95</f>
        <v>-5088.46</v>
      </c>
      <c r="M95" s="249">
        <f>Données!M95</f>
        <v>0</v>
      </c>
      <c r="N95" s="249">
        <f>Données!N95</f>
        <v>87.44721624309301</v>
      </c>
      <c r="O95" s="249">
        <f>Données!O95</f>
        <v>37920.300000000003</v>
      </c>
      <c r="P95" s="249">
        <f>Données!P95</f>
        <v>1445.7</v>
      </c>
      <c r="Q95" s="249">
        <f>Données!Q95</f>
        <v>892.45</v>
      </c>
      <c r="R95" s="249">
        <f>Données!R95</f>
        <v>-15.85</v>
      </c>
      <c r="S95" s="241"/>
      <c r="T95" s="233">
        <f t="shared" si="6"/>
        <v>390547.33683835424</v>
      </c>
      <c r="U95" s="250">
        <f t="shared" si="7"/>
        <v>37920.300000000003</v>
      </c>
      <c r="V95" s="250">
        <f t="shared" si="8"/>
        <v>2322.3000000000002</v>
      </c>
      <c r="W95" s="251">
        <f t="shared" si="9"/>
        <v>430789.93683835422</v>
      </c>
      <c r="X95" s="233">
        <f t="shared" si="10"/>
        <v>1889.4295475366414</v>
      </c>
      <c r="Y95" s="252">
        <f t="shared" si="11"/>
        <v>0.55111245891583638</v>
      </c>
    </row>
    <row r="96" spans="1:25" x14ac:dyDescent="0.25">
      <c r="A96" s="108">
        <f>Données!A96</f>
        <v>5559</v>
      </c>
      <c r="B96" s="116" t="str">
        <f>Données!B96</f>
        <v>Giez</v>
      </c>
      <c r="C96" s="246">
        <f>Données!C96</f>
        <v>464</v>
      </c>
      <c r="D96" s="247">
        <f>Données!D96</f>
        <v>68</v>
      </c>
      <c r="E96" s="248">
        <f>Données!E96</f>
        <v>1</v>
      </c>
      <c r="F96" s="249">
        <f>Données!F96</f>
        <v>912649.65</v>
      </c>
      <c r="G96" s="249">
        <f>Données!G96</f>
        <v>288586.46999999997</v>
      </c>
      <c r="H96" s="249">
        <f>Données!H96</f>
        <v>254755.75</v>
      </c>
      <c r="I96" s="249">
        <f>Données!I96</f>
        <v>10080.9</v>
      </c>
      <c r="J96" s="249">
        <f>Données!J96</f>
        <v>0</v>
      </c>
      <c r="K96" s="249">
        <f>Données!K96</f>
        <v>26224.27</v>
      </c>
      <c r="L96" s="249">
        <f>Données!L96</f>
        <v>-32332.51</v>
      </c>
      <c r="M96" s="249">
        <f>Données!M96</f>
        <v>0</v>
      </c>
      <c r="N96" s="249">
        <f>Données!N96</f>
        <v>25179.91606593785</v>
      </c>
      <c r="O96" s="249">
        <f>Données!O96</f>
        <v>103512.3</v>
      </c>
      <c r="P96" s="249">
        <f>Données!P96</f>
        <v>6804.45</v>
      </c>
      <c r="Q96" s="249">
        <f>Données!Q96</f>
        <v>4390</v>
      </c>
      <c r="R96" s="249">
        <f>Données!R96</f>
        <v>-311.05</v>
      </c>
      <c r="S96" s="241"/>
      <c r="T96" s="233">
        <f t="shared" si="6"/>
        <v>1471956.1741402592</v>
      </c>
      <c r="U96" s="250">
        <f t="shared" si="7"/>
        <v>103512.3</v>
      </c>
      <c r="V96" s="250">
        <f t="shared" si="8"/>
        <v>10883.400000000001</v>
      </c>
      <c r="W96" s="251">
        <f t="shared" si="9"/>
        <v>1586351.8741402591</v>
      </c>
      <c r="X96" s="233">
        <f t="shared" si="10"/>
        <v>3418.8617977160757</v>
      </c>
      <c r="Y96" s="252">
        <f t="shared" si="11"/>
        <v>0.99722021098338076</v>
      </c>
    </row>
    <row r="97" spans="1:25" x14ac:dyDescent="0.25">
      <c r="A97" s="108">
        <f>Données!A97</f>
        <v>5560</v>
      </c>
      <c r="B97" s="116" t="str">
        <f>Données!B97</f>
        <v>Grandevent</v>
      </c>
      <c r="C97" s="246">
        <f>Données!C97</f>
        <v>241</v>
      </c>
      <c r="D97" s="247">
        <f>Données!D97</f>
        <v>71</v>
      </c>
      <c r="E97" s="248">
        <f>Données!E97</f>
        <v>1</v>
      </c>
      <c r="F97" s="249">
        <f>Données!F97</f>
        <v>365444.09</v>
      </c>
      <c r="G97" s="249">
        <f>Données!G97</f>
        <v>67584.09</v>
      </c>
      <c r="H97" s="249">
        <f>Données!H97</f>
        <v>2921.5</v>
      </c>
      <c r="I97" s="249">
        <f>Données!I97</f>
        <v>1041.5</v>
      </c>
      <c r="J97" s="249">
        <f>Données!J97</f>
        <v>0</v>
      </c>
      <c r="K97" s="249">
        <f>Données!K97</f>
        <v>0</v>
      </c>
      <c r="L97" s="249">
        <f>Données!L97</f>
        <v>-7441.62</v>
      </c>
      <c r="M97" s="249">
        <f>Données!M97</f>
        <v>0</v>
      </c>
      <c r="N97" s="249">
        <f>Données!N97</f>
        <v>376.79077789766518</v>
      </c>
      <c r="O97" s="249">
        <f>Données!O97</f>
        <v>48741.7</v>
      </c>
      <c r="P97" s="249">
        <f>Données!P97</f>
        <v>-1894.24</v>
      </c>
      <c r="Q97" s="249">
        <f>Données!Q97</f>
        <v>0</v>
      </c>
      <c r="R97" s="249">
        <f>Données!R97</f>
        <v>0</v>
      </c>
      <c r="S97" s="241"/>
      <c r="T97" s="233">
        <f t="shared" si="6"/>
        <v>408103.96337989951</v>
      </c>
      <c r="U97" s="250">
        <f t="shared" si="7"/>
        <v>48741.7</v>
      </c>
      <c r="V97" s="250">
        <f t="shared" si="8"/>
        <v>-1894.24</v>
      </c>
      <c r="W97" s="251">
        <f t="shared" si="9"/>
        <v>454951.42337989953</v>
      </c>
      <c r="X97" s="233">
        <f t="shared" si="10"/>
        <v>1887.7652422402471</v>
      </c>
      <c r="Y97" s="252">
        <f t="shared" si="11"/>
        <v>0.55062701113320889</v>
      </c>
    </row>
    <row r="98" spans="1:25" x14ac:dyDescent="0.25">
      <c r="A98" s="108">
        <f>Données!A98</f>
        <v>5561</v>
      </c>
      <c r="B98" s="116" t="str">
        <f>Données!B98</f>
        <v>Grandson</v>
      </c>
      <c r="C98" s="246">
        <f>Données!C98</f>
        <v>3391</v>
      </c>
      <c r="D98" s="247">
        <f>Données!D98</f>
        <v>69</v>
      </c>
      <c r="E98" s="248">
        <f>Données!E98</f>
        <v>1</v>
      </c>
      <c r="F98" s="249">
        <f>Données!F98</f>
        <v>6859644.1600000001</v>
      </c>
      <c r="G98" s="249">
        <f>Données!G98</f>
        <v>1323048.03</v>
      </c>
      <c r="H98" s="249">
        <f>Données!H98</f>
        <v>300076.45</v>
      </c>
      <c r="I98" s="249">
        <f>Données!I98</f>
        <v>20846.5</v>
      </c>
      <c r="J98" s="249">
        <f>Données!J98</f>
        <v>0</v>
      </c>
      <c r="K98" s="249">
        <f>Données!K98</f>
        <v>29923.45</v>
      </c>
      <c r="L98" s="249">
        <f>Données!L98</f>
        <v>-167982.81</v>
      </c>
      <c r="M98" s="249">
        <f>Données!M98</f>
        <v>0</v>
      </c>
      <c r="N98" s="249">
        <f>Données!N98</f>
        <v>30512.442083197962</v>
      </c>
      <c r="O98" s="249">
        <f>Données!O98</f>
        <v>714057.1</v>
      </c>
      <c r="P98" s="249">
        <f>Données!P98</f>
        <v>149055.43</v>
      </c>
      <c r="Q98" s="249">
        <f>Données!Q98</f>
        <v>49529.65</v>
      </c>
      <c r="R98" s="249">
        <f>Données!R98</f>
        <v>-46160.93</v>
      </c>
      <c r="S98" s="241"/>
      <c r="T98" s="233">
        <f t="shared" si="6"/>
        <v>8200908.4712364012</v>
      </c>
      <c r="U98" s="250">
        <f t="shared" si="7"/>
        <v>714057.1</v>
      </c>
      <c r="V98" s="250">
        <f t="shared" si="8"/>
        <v>152424.15</v>
      </c>
      <c r="W98" s="251">
        <f t="shared" si="9"/>
        <v>9067389.7212364022</v>
      </c>
      <c r="X98" s="233">
        <f t="shared" si="10"/>
        <v>2673.9574524436457</v>
      </c>
      <c r="Y98" s="252">
        <f t="shared" si="11"/>
        <v>0.77994507314328154</v>
      </c>
    </row>
    <row r="99" spans="1:25" x14ac:dyDescent="0.25">
      <c r="A99" s="108">
        <f>Données!A99</f>
        <v>5562</v>
      </c>
      <c r="B99" s="116" t="str">
        <f>Données!B99</f>
        <v>Mauborget</v>
      </c>
      <c r="C99" s="246">
        <f>Données!C99</f>
        <v>137</v>
      </c>
      <c r="D99" s="247">
        <f>Données!D99</f>
        <v>70</v>
      </c>
      <c r="E99" s="248">
        <f>Données!E99</f>
        <v>1.2</v>
      </c>
      <c r="F99" s="249">
        <f>Données!F99</f>
        <v>257166.82</v>
      </c>
      <c r="G99" s="249">
        <f>Données!G99</f>
        <v>119462.49</v>
      </c>
      <c r="H99" s="249">
        <f>Données!H99</f>
        <v>3572.2</v>
      </c>
      <c r="I99" s="249">
        <f>Données!I99</f>
        <v>1112.25</v>
      </c>
      <c r="J99" s="249">
        <f>Données!J99</f>
        <v>0</v>
      </c>
      <c r="K99" s="249">
        <f>Données!K99</f>
        <v>0</v>
      </c>
      <c r="L99" s="249">
        <f>Données!L99</f>
        <v>-7022.64</v>
      </c>
      <c r="M99" s="249">
        <f>Données!M99</f>
        <v>0</v>
      </c>
      <c r="N99" s="249">
        <f>Données!N99</f>
        <v>445.38419367214681</v>
      </c>
      <c r="O99" s="249">
        <f>Données!O99</f>
        <v>40173.5</v>
      </c>
      <c r="P99" s="249">
        <f>Données!P99</f>
        <v>4211.37</v>
      </c>
      <c r="Q99" s="249">
        <f>Données!Q99</f>
        <v>2039.5</v>
      </c>
      <c r="R99" s="249">
        <f>Données!R99</f>
        <v>-718.35</v>
      </c>
      <c r="S99" s="241"/>
      <c r="T99" s="233">
        <f t="shared" si="6"/>
        <v>360797.11639173795</v>
      </c>
      <c r="U99" s="250">
        <f t="shared" si="7"/>
        <v>33477.916666666672</v>
      </c>
      <c r="V99" s="250">
        <f t="shared" si="8"/>
        <v>5532.5199999999995</v>
      </c>
      <c r="W99" s="251">
        <f t="shared" si="9"/>
        <v>399807.55305840465</v>
      </c>
      <c r="X99" s="233">
        <f t="shared" si="10"/>
        <v>2918.3033069956546</v>
      </c>
      <c r="Y99" s="252">
        <f t="shared" si="11"/>
        <v>0.85121634383110145</v>
      </c>
    </row>
    <row r="100" spans="1:25" x14ac:dyDescent="0.25">
      <c r="A100" s="108">
        <f>Données!A100</f>
        <v>5563</v>
      </c>
      <c r="B100" s="116" t="str">
        <f>Données!B100</f>
        <v>Mutrux</v>
      </c>
      <c r="C100" s="246">
        <f>Données!C100</f>
        <v>138</v>
      </c>
      <c r="D100" s="247">
        <f>Données!D100</f>
        <v>80</v>
      </c>
      <c r="E100" s="248">
        <f>Données!E100</f>
        <v>1</v>
      </c>
      <c r="F100" s="249">
        <f>Données!F100</f>
        <v>224456.79</v>
      </c>
      <c r="G100" s="249">
        <f>Données!G100</f>
        <v>39024.959999999999</v>
      </c>
      <c r="H100" s="249">
        <f>Données!H100</f>
        <v>362.05</v>
      </c>
      <c r="I100" s="249">
        <f>Données!I100</f>
        <v>833.45</v>
      </c>
      <c r="J100" s="249">
        <f>Données!J100</f>
        <v>0</v>
      </c>
      <c r="K100" s="249">
        <f>Données!K100</f>
        <v>0</v>
      </c>
      <c r="L100" s="249">
        <f>Données!L100</f>
        <v>-50.7</v>
      </c>
      <c r="M100" s="249">
        <f>Données!M100</f>
        <v>0</v>
      </c>
      <c r="N100" s="249">
        <f>Données!N100</f>
        <v>113.66474261333806</v>
      </c>
      <c r="O100" s="249">
        <f>Données!O100</f>
        <v>24007.8</v>
      </c>
      <c r="P100" s="249">
        <f>Données!P100</f>
        <v>9939.6299999999992</v>
      </c>
      <c r="Q100" s="249">
        <f>Données!Q100</f>
        <v>0</v>
      </c>
      <c r="R100" s="249">
        <f>Données!R100</f>
        <v>0</v>
      </c>
      <c r="S100" s="241"/>
      <c r="T100" s="233">
        <f t="shared" si="6"/>
        <v>223030.89471598808</v>
      </c>
      <c r="U100" s="250">
        <f t="shared" si="7"/>
        <v>24007.8</v>
      </c>
      <c r="V100" s="250">
        <f t="shared" si="8"/>
        <v>9939.6299999999992</v>
      </c>
      <c r="W100" s="251">
        <f t="shared" si="9"/>
        <v>256978.32471598807</v>
      </c>
      <c r="X100" s="233">
        <f t="shared" si="10"/>
        <v>1862.1617733042615</v>
      </c>
      <c r="Y100" s="252">
        <f t="shared" si="11"/>
        <v>0.54315894187363645</v>
      </c>
    </row>
    <row r="101" spans="1:25" x14ac:dyDescent="0.25">
      <c r="A101" s="108">
        <f>Données!A101</f>
        <v>5564</v>
      </c>
      <c r="B101" s="116" t="str">
        <f>Données!B101</f>
        <v>Novalles</v>
      </c>
      <c r="C101" s="246">
        <f>Données!C101</f>
        <v>105</v>
      </c>
      <c r="D101" s="247">
        <f>Données!D101</f>
        <v>76</v>
      </c>
      <c r="E101" s="248">
        <f>Données!E101</f>
        <v>0.8</v>
      </c>
      <c r="F101" s="249">
        <f>Données!F101</f>
        <v>156020.5</v>
      </c>
      <c r="G101" s="249">
        <f>Données!G101</f>
        <v>13431.56</v>
      </c>
      <c r="H101" s="249">
        <f>Données!H101</f>
        <v>307.14999999999998</v>
      </c>
      <c r="I101" s="249">
        <f>Données!I101</f>
        <v>815.35</v>
      </c>
      <c r="J101" s="249">
        <f>Données!J101</f>
        <v>0</v>
      </c>
      <c r="K101" s="249">
        <f>Données!K101</f>
        <v>0</v>
      </c>
      <c r="L101" s="249">
        <f>Données!L101</f>
        <v>-158.06</v>
      </c>
      <c r="M101" s="249">
        <f>Données!M101</f>
        <v>0</v>
      </c>
      <c r="N101" s="249">
        <f>Données!N101</f>
        <v>106.72411006563947</v>
      </c>
      <c r="O101" s="249">
        <f>Données!O101</f>
        <v>12643.95</v>
      </c>
      <c r="P101" s="249">
        <f>Données!P101</f>
        <v>0</v>
      </c>
      <c r="Q101" s="249">
        <f>Données!Q101</f>
        <v>0</v>
      </c>
      <c r="R101" s="249">
        <f>Données!R101</f>
        <v>0</v>
      </c>
      <c r="S101" s="241"/>
      <c r="T101" s="233">
        <f t="shared" si="6"/>
        <v>151218.53971408575</v>
      </c>
      <c r="U101" s="250">
        <f t="shared" si="7"/>
        <v>15804.9375</v>
      </c>
      <c r="V101" s="250">
        <f t="shared" si="8"/>
        <v>0</v>
      </c>
      <c r="W101" s="251">
        <f t="shared" si="9"/>
        <v>167023.47721408575</v>
      </c>
      <c r="X101" s="233">
        <f t="shared" si="10"/>
        <v>1590.699782991293</v>
      </c>
      <c r="Y101" s="252">
        <f t="shared" si="11"/>
        <v>0.4639783843457746</v>
      </c>
    </row>
    <row r="102" spans="1:25" x14ac:dyDescent="0.25">
      <c r="A102" s="108">
        <f>Données!A102</f>
        <v>5565</v>
      </c>
      <c r="B102" s="116" t="str">
        <f>Données!B102</f>
        <v>Onnens</v>
      </c>
      <c r="C102" s="246">
        <f>Données!C102</f>
        <v>527</v>
      </c>
      <c r="D102" s="247">
        <f>Données!D102</f>
        <v>65</v>
      </c>
      <c r="E102" s="248">
        <f>Données!E102</f>
        <v>1</v>
      </c>
      <c r="F102" s="249">
        <f>Données!F102</f>
        <v>777388.57</v>
      </c>
      <c r="G102" s="249">
        <f>Données!G102</f>
        <v>138066.45000000001</v>
      </c>
      <c r="H102" s="249">
        <f>Données!H102</f>
        <v>31777.5</v>
      </c>
      <c r="I102" s="249">
        <f>Données!I102</f>
        <v>31364.95</v>
      </c>
      <c r="J102" s="249">
        <f>Données!J102</f>
        <v>0</v>
      </c>
      <c r="K102" s="249">
        <f>Données!K102</f>
        <v>0</v>
      </c>
      <c r="L102" s="249">
        <f>Données!L102</f>
        <v>-2517.41</v>
      </c>
      <c r="M102" s="249">
        <f>Données!M102</f>
        <v>0</v>
      </c>
      <c r="N102" s="249">
        <f>Données!N102</f>
        <v>6003.4047070059123</v>
      </c>
      <c r="O102" s="249">
        <f>Données!O102</f>
        <v>138713.35</v>
      </c>
      <c r="P102" s="249">
        <f>Données!P102</f>
        <v>8970.86</v>
      </c>
      <c r="Q102" s="249">
        <f>Données!Q102</f>
        <v>22127.7</v>
      </c>
      <c r="R102" s="249">
        <f>Données!R102</f>
        <v>0</v>
      </c>
      <c r="S102" s="241"/>
      <c r="T102" s="233">
        <f t="shared" si="6"/>
        <v>1018286.8586321388</v>
      </c>
      <c r="U102" s="250">
        <f t="shared" si="7"/>
        <v>138713.35</v>
      </c>
      <c r="V102" s="250">
        <f t="shared" si="8"/>
        <v>31098.560000000001</v>
      </c>
      <c r="W102" s="251">
        <f t="shared" si="9"/>
        <v>1188098.7686321388</v>
      </c>
      <c r="X102" s="233">
        <f t="shared" si="10"/>
        <v>2254.4568664746466</v>
      </c>
      <c r="Y102" s="252">
        <f t="shared" si="11"/>
        <v>0.65758433217179224</v>
      </c>
    </row>
    <row r="103" spans="1:25" x14ac:dyDescent="0.25">
      <c r="A103" s="108">
        <f>Données!A103</f>
        <v>5566</v>
      </c>
      <c r="B103" s="116" t="str">
        <f>Données!B103</f>
        <v>Provence</v>
      </c>
      <c r="C103" s="246">
        <f>Données!C103</f>
        <v>421</v>
      </c>
      <c r="D103" s="247">
        <f>Données!D103</f>
        <v>81</v>
      </c>
      <c r="E103" s="248">
        <f>Données!E103</f>
        <v>1.5</v>
      </c>
      <c r="F103" s="249">
        <f>Données!F103</f>
        <v>637539.67000000004</v>
      </c>
      <c r="G103" s="249">
        <f>Données!G103</f>
        <v>84328.53</v>
      </c>
      <c r="H103" s="249">
        <f>Données!H103</f>
        <v>3745.45</v>
      </c>
      <c r="I103" s="249">
        <f>Données!I103</f>
        <v>4238.8</v>
      </c>
      <c r="J103" s="249">
        <f>Données!J103</f>
        <v>0</v>
      </c>
      <c r="K103" s="249">
        <f>Données!K103</f>
        <v>0</v>
      </c>
      <c r="L103" s="249">
        <f>Données!L103</f>
        <v>-5533.18</v>
      </c>
      <c r="M103" s="249">
        <f>Données!M103</f>
        <v>0</v>
      </c>
      <c r="N103" s="249">
        <f>Données!N103</f>
        <v>759.11980025976118</v>
      </c>
      <c r="O103" s="249">
        <f>Données!O103</f>
        <v>102433.9</v>
      </c>
      <c r="P103" s="249">
        <f>Données!P103</f>
        <v>34753.19</v>
      </c>
      <c r="Q103" s="249">
        <f>Données!Q103</f>
        <v>2126.9499999999998</v>
      </c>
      <c r="R103" s="249">
        <f>Données!R103</f>
        <v>0</v>
      </c>
      <c r="S103" s="241"/>
      <c r="T103" s="233">
        <f t="shared" si="6"/>
        <v>603302.38134303968</v>
      </c>
      <c r="U103" s="250">
        <f t="shared" si="7"/>
        <v>68289.266666666663</v>
      </c>
      <c r="V103" s="250">
        <f t="shared" si="8"/>
        <v>36880.14</v>
      </c>
      <c r="W103" s="251">
        <f t="shared" si="9"/>
        <v>708471.7880097063</v>
      </c>
      <c r="X103" s="233">
        <f t="shared" si="10"/>
        <v>1682.8308503793498</v>
      </c>
      <c r="Y103" s="252">
        <f t="shared" si="11"/>
        <v>0.49085135198670643</v>
      </c>
    </row>
    <row r="104" spans="1:25" x14ac:dyDescent="0.25">
      <c r="A104" s="108">
        <f>Données!A104</f>
        <v>5568</v>
      </c>
      <c r="B104" s="116" t="str">
        <f>Données!B104</f>
        <v>Sainte-Croix</v>
      </c>
      <c r="C104" s="246">
        <f>Données!C104</f>
        <v>5149</v>
      </c>
      <c r="D104" s="247">
        <f>Données!D104</f>
        <v>70</v>
      </c>
      <c r="E104" s="248">
        <f>Données!E104</f>
        <v>1</v>
      </c>
      <c r="F104" s="249">
        <f>Données!F104</f>
        <v>5955306.1600000001</v>
      </c>
      <c r="G104" s="249">
        <f>Données!G104</f>
        <v>854385.28</v>
      </c>
      <c r="H104" s="249">
        <f>Données!H104</f>
        <v>447846.55</v>
      </c>
      <c r="I104" s="249">
        <f>Données!I104</f>
        <v>71474.399999999994</v>
      </c>
      <c r="J104" s="249">
        <f>Données!J104</f>
        <v>0</v>
      </c>
      <c r="K104" s="249">
        <f>Données!K104</f>
        <v>126011.07</v>
      </c>
      <c r="L104" s="249">
        <f>Données!L104</f>
        <v>-340274.06</v>
      </c>
      <c r="M104" s="249">
        <f>Données!M104</f>
        <v>0</v>
      </c>
      <c r="N104" s="249">
        <f>Données!N104</f>
        <v>49375.560113311753</v>
      </c>
      <c r="O104" s="249">
        <f>Données!O104</f>
        <v>717411.4</v>
      </c>
      <c r="P104" s="249">
        <f>Données!P104</f>
        <v>184223.41</v>
      </c>
      <c r="Q104" s="249">
        <f>Données!Q104</f>
        <v>65738.7</v>
      </c>
      <c r="R104" s="249">
        <f>Données!R104</f>
        <v>-717.1</v>
      </c>
      <c r="S104" s="241"/>
      <c r="T104" s="233">
        <f t="shared" si="6"/>
        <v>6897634.999933389</v>
      </c>
      <c r="U104" s="250">
        <f t="shared" si="7"/>
        <v>717411.4</v>
      </c>
      <c r="V104" s="250">
        <f t="shared" si="8"/>
        <v>249245.00999999998</v>
      </c>
      <c r="W104" s="251">
        <f t="shared" si="9"/>
        <v>7864291.4099333892</v>
      </c>
      <c r="X104" s="233">
        <f t="shared" si="10"/>
        <v>1527.3434472583781</v>
      </c>
      <c r="Y104" s="252">
        <f t="shared" si="11"/>
        <v>0.44549848599805025</v>
      </c>
    </row>
    <row r="105" spans="1:25" x14ac:dyDescent="0.25">
      <c r="A105" s="108">
        <f>Données!A105</f>
        <v>5571</v>
      </c>
      <c r="B105" s="116" t="str">
        <f>Données!B105</f>
        <v>Tévenon</v>
      </c>
      <c r="C105" s="246">
        <f>Données!C105</f>
        <v>857</v>
      </c>
      <c r="D105" s="247">
        <f>Données!D105</f>
        <v>71.5</v>
      </c>
      <c r="E105" s="248">
        <f>Données!E105</f>
        <v>1.2</v>
      </c>
      <c r="F105" s="249">
        <f>Données!F105</f>
        <v>1475291.98</v>
      </c>
      <c r="G105" s="249">
        <f>Données!G105</f>
        <v>246035.07</v>
      </c>
      <c r="H105" s="249">
        <f>Données!H105</f>
        <v>10837.5</v>
      </c>
      <c r="I105" s="249">
        <f>Données!I105</f>
        <v>1448.45</v>
      </c>
      <c r="J105" s="249">
        <f>Données!J105</f>
        <v>0</v>
      </c>
      <c r="K105" s="249">
        <f>Données!K105</f>
        <v>2673.8</v>
      </c>
      <c r="L105" s="249">
        <f>Données!L105</f>
        <v>-10012.27</v>
      </c>
      <c r="M105" s="249">
        <f>Données!M105</f>
        <v>0</v>
      </c>
      <c r="N105" s="249">
        <f>Données!N105</f>
        <v>1168.1132116355841</v>
      </c>
      <c r="O105" s="249">
        <f>Données!O105</f>
        <v>212693.2</v>
      </c>
      <c r="P105" s="249">
        <f>Données!P105</f>
        <v>22119.35</v>
      </c>
      <c r="Q105" s="249">
        <f>Données!Q105</f>
        <v>9167.2000000000007</v>
      </c>
      <c r="R105" s="249">
        <f>Données!R105</f>
        <v>-22.45</v>
      </c>
      <c r="S105" s="241"/>
      <c r="T105" s="233">
        <f t="shared" si="6"/>
        <v>1628293.5077565045</v>
      </c>
      <c r="U105" s="250">
        <f t="shared" si="7"/>
        <v>177244.33333333334</v>
      </c>
      <c r="V105" s="250">
        <f t="shared" si="8"/>
        <v>31264.1</v>
      </c>
      <c r="W105" s="251">
        <f t="shared" si="9"/>
        <v>1836801.9410898378</v>
      </c>
      <c r="X105" s="233">
        <f t="shared" si="10"/>
        <v>2143.2928134070453</v>
      </c>
      <c r="Y105" s="252">
        <f t="shared" si="11"/>
        <v>0.62515978651513648</v>
      </c>
    </row>
    <row r="106" spans="1:25" x14ac:dyDescent="0.25">
      <c r="A106" s="108">
        <f>Données!A106</f>
        <v>5581</v>
      </c>
      <c r="B106" s="116" t="str">
        <f>Données!B106</f>
        <v>Belmont-sur-Lausanne</v>
      </c>
      <c r="C106" s="246">
        <f>Données!C106</f>
        <v>3891</v>
      </c>
      <c r="D106" s="247">
        <f>Données!D106</f>
        <v>72</v>
      </c>
      <c r="E106" s="248">
        <f>Données!E106</f>
        <v>1.5</v>
      </c>
      <c r="F106" s="249">
        <f>Données!F106</f>
        <v>11887103.710000001</v>
      </c>
      <c r="G106" s="249">
        <f>Données!G106</f>
        <v>2546003.39</v>
      </c>
      <c r="H106" s="249">
        <f>Données!H106</f>
        <v>-149633.54999999999</v>
      </c>
      <c r="I106" s="249">
        <f>Données!I106</f>
        <v>16314.45</v>
      </c>
      <c r="J106" s="249">
        <f>Données!J106</f>
        <v>137964.04999999999</v>
      </c>
      <c r="K106" s="249">
        <f>Données!K106</f>
        <v>46616.01</v>
      </c>
      <c r="L106" s="249">
        <f>Données!L106</f>
        <v>-100668.96</v>
      </c>
      <c r="M106" s="249">
        <f>Données!M106</f>
        <v>0</v>
      </c>
      <c r="N106" s="249">
        <f>Données!N106</f>
        <v>-12675.601160135404</v>
      </c>
      <c r="O106" s="249">
        <f>Données!O106</f>
        <v>1621552.95</v>
      </c>
      <c r="P106" s="249">
        <f>Données!P106</f>
        <v>211453.99</v>
      </c>
      <c r="Q106" s="249">
        <f>Données!Q106</f>
        <v>18562.400000000001</v>
      </c>
      <c r="R106" s="249">
        <f>Données!R106</f>
        <v>-23553.8</v>
      </c>
      <c r="S106" s="241"/>
      <c r="T106" s="233">
        <f t="shared" si="6"/>
        <v>13452106.59122272</v>
      </c>
      <c r="U106" s="250">
        <f t="shared" si="7"/>
        <v>1081035.3</v>
      </c>
      <c r="V106" s="250">
        <f t="shared" si="8"/>
        <v>206462.59</v>
      </c>
      <c r="W106" s="251">
        <f t="shared" si="9"/>
        <v>14739604.481222721</v>
      </c>
      <c r="X106" s="233">
        <f t="shared" si="10"/>
        <v>3788.1275973330044</v>
      </c>
      <c r="Y106" s="252">
        <f t="shared" si="11"/>
        <v>1.1049283724682755</v>
      </c>
    </row>
    <row r="107" spans="1:25" x14ac:dyDescent="0.25">
      <c r="A107" s="108">
        <f>Données!A107</f>
        <v>5582</v>
      </c>
      <c r="B107" s="116" t="str">
        <f>Données!B107</f>
        <v>Cheseaux-sur-Lausanne</v>
      </c>
      <c r="C107" s="246">
        <f>Données!C107</f>
        <v>4870</v>
      </c>
      <c r="D107" s="247">
        <f>Données!D107</f>
        <v>73</v>
      </c>
      <c r="E107" s="248">
        <f>Données!E107</f>
        <v>1</v>
      </c>
      <c r="F107" s="249">
        <f>Données!F107</f>
        <v>9975516.3599999994</v>
      </c>
      <c r="G107" s="249">
        <f>Données!G107</f>
        <v>1193176.08</v>
      </c>
      <c r="H107" s="249">
        <f>Données!H107</f>
        <v>440907.15</v>
      </c>
      <c r="I107" s="249">
        <f>Données!I107</f>
        <v>252326.75</v>
      </c>
      <c r="J107" s="249">
        <f>Données!J107</f>
        <v>0</v>
      </c>
      <c r="K107" s="249">
        <f>Données!K107</f>
        <v>14272.22</v>
      </c>
      <c r="L107" s="249">
        <f>Données!L107</f>
        <v>-95322.4</v>
      </c>
      <c r="M107" s="249">
        <f>Données!M107</f>
        <v>0</v>
      </c>
      <c r="N107" s="249">
        <f>Données!N107</f>
        <v>65910.709171342984</v>
      </c>
      <c r="O107" s="249">
        <f>Données!O107</f>
        <v>1098453.6000000001</v>
      </c>
      <c r="P107" s="249">
        <f>Données!P107</f>
        <v>332200.71999999997</v>
      </c>
      <c r="Q107" s="249">
        <f>Données!Q107</f>
        <v>84630.45</v>
      </c>
      <c r="R107" s="249">
        <f>Données!R107</f>
        <v>-7270.81</v>
      </c>
      <c r="S107" s="241"/>
      <c r="T107" s="233">
        <f t="shared" si="6"/>
        <v>10937367.680401411</v>
      </c>
      <c r="U107" s="250">
        <f t="shared" si="7"/>
        <v>1098453.6000000001</v>
      </c>
      <c r="V107" s="250">
        <f t="shared" si="8"/>
        <v>409560.36</v>
      </c>
      <c r="W107" s="251">
        <f t="shared" si="9"/>
        <v>12445381.64040141</v>
      </c>
      <c r="X107" s="233">
        <f t="shared" si="10"/>
        <v>2555.5198440249301</v>
      </c>
      <c r="Y107" s="252">
        <f t="shared" si="11"/>
        <v>0.74539896281657014</v>
      </c>
    </row>
    <row r="108" spans="1:25" x14ac:dyDescent="0.25">
      <c r="A108" s="108">
        <f>Données!A108</f>
        <v>5583</v>
      </c>
      <c r="B108" s="116" t="str">
        <f>Données!B108</f>
        <v>Crissier</v>
      </c>
      <c r="C108" s="246">
        <f>Données!C108</f>
        <v>11116</v>
      </c>
      <c r="D108" s="247">
        <f>Données!D108</f>
        <v>63.5</v>
      </c>
      <c r="E108" s="248">
        <f>Données!E108</f>
        <v>1</v>
      </c>
      <c r="F108" s="249">
        <f>Données!F108</f>
        <v>20591395.440000001</v>
      </c>
      <c r="G108" s="249">
        <f>Données!G108</f>
        <v>2151763.94</v>
      </c>
      <c r="H108" s="249">
        <f>Données!H108</f>
        <v>3910195.35</v>
      </c>
      <c r="I108" s="249">
        <f>Données!I108</f>
        <v>377566.05</v>
      </c>
      <c r="J108" s="249">
        <f>Données!J108</f>
        <v>0</v>
      </c>
      <c r="K108" s="249">
        <f>Données!K108</f>
        <v>100021.12</v>
      </c>
      <c r="L108" s="249">
        <f>Données!L108</f>
        <v>-475853.22</v>
      </c>
      <c r="M108" s="249">
        <f>Données!M108</f>
        <v>0</v>
      </c>
      <c r="N108" s="249">
        <f>Données!N108</f>
        <v>407668.16889870859</v>
      </c>
      <c r="O108" s="249">
        <f>Données!O108</f>
        <v>3775102.2</v>
      </c>
      <c r="P108" s="249">
        <f>Données!P108</f>
        <v>1515103.22</v>
      </c>
      <c r="Q108" s="249">
        <f>Données!Q108</f>
        <v>449027.75</v>
      </c>
      <c r="R108" s="249">
        <f>Données!R108</f>
        <v>-5699.05</v>
      </c>
      <c r="S108" s="241"/>
      <c r="T108" s="233">
        <f t="shared" si="6"/>
        <v>28723238.679264415</v>
      </c>
      <c r="U108" s="250">
        <f t="shared" si="7"/>
        <v>3775102.2</v>
      </c>
      <c r="V108" s="250">
        <f t="shared" si="8"/>
        <v>1958431.92</v>
      </c>
      <c r="W108" s="251">
        <f t="shared" si="9"/>
        <v>34456772.799264416</v>
      </c>
      <c r="X108" s="233">
        <f t="shared" si="10"/>
        <v>3099.745663841707</v>
      </c>
      <c r="Y108" s="252">
        <f t="shared" si="11"/>
        <v>0.90413980084133083</v>
      </c>
    </row>
    <row r="109" spans="1:25" x14ac:dyDescent="0.25">
      <c r="A109" s="108">
        <f>Données!A109</f>
        <v>5584</v>
      </c>
      <c r="B109" s="116" t="str">
        <f>Données!B109</f>
        <v>Epalinges</v>
      </c>
      <c r="C109" s="246">
        <f>Données!C109</f>
        <v>9869</v>
      </c>
      <c r="D109" s="247">
        <f>Données!D109</f>
        <v>64.5</v>
      </c>
      <c r="E109" s="248">
        <f>Données!E109</f>
        <v>1</v>
      </c>
      <c r="F109" s="249">
        <f>Données!F109</f>
        <v>24408894.949999999</v>
      </c>
      <c r="G109" s="249">
        <f>Données!G109</f>
        <v>5044311.88</v>
      </c>
      <c r="H109" s="249">
        <f>Données!H109</f>
        <v>475120.4</v>
      </c>
      <c r="I109" s="249">
        <f>Données!I109</f>
        <v>171386.45</v>
      </c>
      <c r="J109" s="249">
        <f>Données!J109</f>
        <v>509484.37</v>
      </c>
      <c r="K109" s="249">
        <f>Données!K109</f>
        <v>57422.43</v>
      </c>
      <c r="L109" s="249">
        <f>Données!L109</f>
        <v>-208536.6</v>
      </c>
      <c r="M109" s="249">
        <f>Données!M109</f>
        <v>0</v>
      </c>
      <c r="N109" s="249">
        <f>Données!N109</f>
        <v>61468.034046850669</v>
      </c>
      <c r="O109" s="249">
        <f>Données!O109</f>
        <v>2797641.1</v>
      </c>
      <c r="P109" s="249">
        <f>Données!P109</f>
        <v>624296.16</v>
      </c>
      <c r="Q109" s="249">
        <f>Données!Q109</f>
        <v>356424.1</v>
      </c>
      <c r="R109" s="249">
        <f>Données!R109</f>
        <v>-539342.44999999995</v>
      </c>
      <c r="S109" s="241"/>
      <c r="T109" s="233">
        <f t="shared" si="6"/>
        <v>31889927.743851591</v>
      </c>
      <c r="U109" s="250">
        <f t="shared" si="7"/>
        <v>2797641.1</v>
      </c>
      <c r="V109" s="250">
        <f t="shared" si="8"/>
        <v>441377.81000000006</v>
      </c>
      <c r="W109" s="251">
        <f t="shared" si="9"/>
        <v>35128946.653851591</v>
      </c>
      <c r="X109" s="233">
        <f t="shared" si="10"/>
        <v>3559.5244354900792</v>
      </c>
      <c r="Y109" s="252">
        <f t="shared" si="11"/>
        <v>1.0382489607889966</v>
      </c>
    </row>
    <row r="110" spans="1:25" x14ac:dyDescent="0.25">
      <c r="A110" s="108">
        <f>Données!A110</f>
        <v>5585</v>
      </c>
      <c r="B110" s="116" t="str">
        <f>Données!B110</f>
        <v>Jouxtens-Mézery</v>
      </c>
      <c r="C110" s="246">
        <f>Données!C110</f>
        <v>1455</v>
      </c>
      <c r="D110" s="247">
        <f>Données!D110</f>
        <v>59</v>
      </c>
      <c r="E110" s="248">
        <f>Données!E110</f>
        <v>1.5</v>
      </c>
      <c r="F110" s="249">
        <f>Données!F110</f>
        <v>8183290.4900000002</v>
      </c>
      <c r="G110" s="249">
        <f>Données!G110</f>
        <v>5755665.0599999996</v>
      </c>
      <c r="H110" s="249">
        <f>Données!H110</f>
        <v>36123.599999999999</v>
      </c>
      <c r="I110" s="249">
        <f>Données!I110</f>
        <v>7922.25</v>
      </c>
      <c r="J110" s="249">
        <f>Données!J110</f>
        <v>536993.22</v>
      </c>
      <c r="K110" s="249">
        <f>Données!K110</f>
        <v>26876.22</v>
      </c>
      <c r="L110" s="249">
        <f>Données!L110</f>
        <v>-27771.88</v>
      </c>
      <c r="M110" s="249">
        <f>Données!M110</f>
        <v>0</v>
      </c>
      <c r="N110" s="249">
        <f>Données!N110</f>
        <v>4187.754247959595</v>
      </c>
      <c r="O110" s="249">
        <f>Données!O110</f>
        <v>976579.6</v>
      </c>
      <c r="P110" s="249">
        <f>Données!P110</f>
        <v>56706.58</v>
      </c>
      <c r="Q110" s="249">
        <f>Données!Q110</f>
        <v>19426.5</v>
      </c>
      <c r="R110" s="249">
        <f>Données!R110</f>
        <v>-22878.05</v>
      </c>
      <c r="S110" s="241"/>
      <c r="T110" s="233">
        <f t="shared" si="6"/>
        <v>16590061.513160141</v>
      </c>
      <c r="U110" s="250">
        <f t="shared" si="7"/>
        <v>651053.06666666665</v>
      </c>
      <c r="V110" s="250">
        <f t="shared" si="8"/>
        <v>53255.03</v>
      </c>
      <c r="W110" s="251">
        <f t="shared" si="9"/>
        <v>17294369.609826811</v>
      </c>
      <c r="X110" s="233">
        <f t="shared" si="10"/>
        <v>11886.164680293341</v>
      </c>
      <c r="Y110" s="252">
        <f t="shared" si="11"/>
        <v>3.4669794661438651</v>
      </c>
    </row>
    <row r="111" spans="1:25" x14ac:dyDescent="0.25">
      <c r="A111" s="108">
        <f>Données!A111</f>
        <v>5586</v>
      </c>
      <c r="B111" s="116" t="str">
        <f>Données!B111</f>
        <v>Lausanne</v>
      </c>
      <c r="C111" s="246">
        <f>Données!C111</f>
        <v>145707</v>
      </c>
      <c r="D111" s="247">
        <f>Données!D111</f>
        <v>78.5</v>
      </c>
      <c r="E111" s="248">
        <f>Données!E111</f>
        <v>1.5</v>
      </c>
      <c r="F111" s="249">
        <f>Données!F111</f>
        <v>320630984.54000002</v>
      </c>
      <c r="G111" s="249">
        <f>Données!G111</f>
        <v>50966566.140000001</v>
      </c>
      <c r="H111" s="249">
        <f>Données!H111</f>
        <v>123034692.15000001</v>
      </c>
      <c r="I111" s="249">
        <f>Données!I111</f>
        <v>8099709.5499999998</v>
      </c>
      <c r="J111" s="249">
        <f>Données!J111</f>
        <v>5924716.8099999996</v>
      </c>
      <c r="K111" s="249">
        <f>Données!K111</f>
        <v>2056485.33</v>
      </c>
      <c r="L111" s="249">
        <f>Données!L111</f>
        <v>-7171778.5999999996</v>
      </c>
      <c r="M111" s="249">
        <f>Données!M111</f>
        <v>0</v>
      </c>
      <c r="N111" s="249">
        <f>Données!N111</f>
        <v>12467886.254274013</v>
      </c>
      <c r="O111" s="249">
        <f>Données!O111</f>
        <v>48124736.350000001</v>
      </c>
      <c r="P111" s="249">
        <f>Données!P111</f>
        <v>25845560.969999999</v>
      </c>
      <c r="Q111" s="249">
        <f>Données!Q111</f>
        <v>6861057.6500000004</v>
      </c>
      <c r="R111" s="249">
        <f>Données!R111</f>
        <v>-2973139.25</v>
      </c>
      <c r="S111" s="241"/>
      <c r="T111" s="233">
        <f t="shared" si="6"/>
        <v>443019596.48163986</v>
      </c>
      <c r="U111" s="250">
        <f t="shared" si="7"/>
        <v>32083157.566666666</v>
      </c>
      <c r="V111" s="250">
        <f t="shared" si="8"/>
        <v>29733479.369999997</v>
      </c>
      <c r="W111" s="251">
        <f t="shared" si="9"/>
        <v>504836233.41830653</v>
      </c>
      <c r="X111" s="233">
        <f t="shared" si="10"/>
        <v>3464.7356229852135</v>
      </c>
      <c r="Y111" s="252">
        <f t="shared" si="11"/>
        <v>1.0106007769202854</v>
      </c>
    </row>
    <row r="112" spans="1:25" x14ac:dyDescent="0.25">
      <c r="A112" s="108">
        <f>Données!A112</f>
        <v>5587</v>
      </c>
      <c r="B112" s="116" t="str">
        <f>Données!B112</f>
        <v>Le Mont-sur-Lausanne</v>
      </c>
      <c r="C112" s="246">
        <f>Données!C112</f>
        <v>9785</v>
      </c>
      <c r="D112" s="247">
        <f>Données!D112</f>
        <v>72</v>
      </c>
      <c r="E112" s="248">
        <f>Données!E112</f>
        <v>1.2</v>
      </c>
      <c r="F112" s="249">
        <f>Données!F112</f>
        <v>26558448.649999999</v>
      </c>
      <c r="G112" s="249">
        <f>Données!G112</f>
        <v>4423872.83</v>
      </c>
      <c r="H112" s="249">
        <f>Données!H112</f>
        <v>3913982.25</v>
      </c>
      <c r="I112" s="249">
        <f>Données!I112</f>
        <v>328869.2</v>
      </c>
      <c r="J112" s="249">
        <f>Données!J112</f>
        <v>-201438.5</v>
      </c>
      <c r="K112" s="249">
        <f>Données!K112</f>
        <v>49934.080000000002</v>
      </c>
      <c r="L112" s="249">
        <f>Données!L112</f>
        <v>-245546.33</v>
      </c>
      <c r="M112" s="249">
        <f>Données!M112</f>
        <v>0</v>
      </c>
      <c r="N112" s="249">
        <f>Données!N112</f>
        <v>403398.25847835903</v>
      </c>
      <c r="O112" s="249">
        <f>Données!O112</f>
        <v>3498581.65</v>
      </c>
      <c r="P112" s="249">
        <f>Données!P112</f>
        <v>638108.67000000004</v>
      </c>
      <c r="Q112" s="249">
        <f>Données!Q112</f>
        <v>384834.75</v>
      </c>
      <c r="R112" s="249">
        <f>Données!R112</f>
        <v>-103929.41</v>
      </c>
      <c r="S112" s="241"/>
      <c r="T112" s="233">
        <f t="shared" si="6"/>
        <v>32978734.489405889</v>
      </c>
      <c r="U112" s="250">
        <f t="shared" si="7"/>
        <v>2915484.7083333335</v>
      </c>
      <c r="V112" s="250">
        <f t="shared" si="8"/>
        <v>919014.01</v>
      </c>
      <c r="W112" s="251">
        <f t="shared" si="9"/>
        <v>36813233.207739219</v>
      </c>
      <c r="X112" s="233">
        <f t="shared" si="10"/>
        <v>3762.2108541378866</v>
      </c>
      <c r="Y112" s="252">
        <f t="shared" si="11"/>
        <v>1.0973689267678666</v>
      </c>
    </row>
    <row r="113" spans="1:25" x14ac:dyDescent="0.25">
      <c r="A113" s="108">
        <f>Données!A113</f>
        <v>5588</v>
      </c>
      <c r="B113" s="116" t="str">
        <f>Données!B113</f>
        <v>Paudex</v>
      </c>
      <c r="C113" s="246">
        <f>Données!C113</f>
        <v>1483</v>
      </c>
      <c r="D113" s="247">
        <f>Données!D113</f>
        <v>66.5</v>
      </c>
      <c r="E113" s="248">
        <f>Données!E113</f>
        <v>0.7</v>
      </c>
      <c r="F113" s="249">
        <f>Données!F113</f>
        <v>3703539.15</v>
      </c>
      <c r="G113" s="249">
        <f>Données!G113</f>
        <v>1310369.02</v>
      </c>
      <c r="H113" s="249">
        <f>Données!H113</f>
        <v>341786</v>
      </c>
      <c r="I113" s="249">
        <f>Données!I113</f>
        <v>420494.5</v>
      </c>
      <c r="J113" s="249">
        <f>Données!J113</f>
        <v>825167.75</v>
      </c>
      <c r="K113" s="249">
        <f>Données!K113</f>
        <v>689.34</v>
      </c>
      <c r="L113" s="249">
        <f>Données!L113</f>
        <v>-46709.2</v>
      </c>
      <c r="M113" s="249">
        <f>Données!M113</f>
        <v>0</v>
      </c>
      <c r="N113" s="249">
        <f>Données!N113</f>
        <v>72475.463681862529</v>
      </c>
      <c r="O113" s="249">
        <f>Données!O113</f>
        <v>422731.1</v>
      </c>
      <c r="P113" s="249">
        <f>Données!P113</f>
        <v>383042.92</v>
      </c>
      <c r="Q113" s="249">
        <f>Données!Q113</f>
        <v>-61785.5</v>
      </c>
      <c r="R113" s="249">
        <f>Données!R113</f>
        <v>-11612.61</v>
      </c>
      <c r="S113" s="241"/>
      <c r="T113" s="233">
        <f t="shared" si="6"/>
        <v>6717128.1529117795</v>
      </c>
      <c r="U113" s="250">
        <f t="shared" si="7"/>
        <v>603901.57142857148</v>
      </c>
      <c r="V113" s="250">
        <f t="shared" si="8"/>
        <v>309644.81</v>
      </c>
      <c r="W113" s="251">
        <f t="shared" si="9"/>
        <v>7630674.5343403509</v>
      </c>
      <c r="X113" s="233">
        <f t="shared" si="10"/>
        <v>5145.4312436549908</v>
      </c>
      <c r="Y113" s="252">
        <f t="shared" si="11"/>
        <v>1.500829320982173</v>
      </c>
    </row>
    <row r="114" spans="1:25" x14ac:dyDescent="0.25">
      <c r="A114" s="108">
        <f>Données!A114</f>
        <v>5589</v>
      </c>
      <c r="B114" s="116" t="str">
        <f>Données!B114</f>
        <v>Prilly</v>
      </c>
      <c r="C114" s="246">
        <f>Données!C114</f>
        <v>13069</v>
      </c>
      <c r="D114" s="247">
        <f>Données!D114</f>
        <v>72.5</v>
      </c>
      <c r="E114" s="248">
        <f>Données!E114</f>
        <v>1.3</v>
      </c>
      <c r="F114" s="249">
        <f>Données!F114</f>
        <v>21071772.940000001</v>
      </c>
      <c r="G114" s="249">
        <f>Données!G114</f>
        <v>2390706.08</v>
      </c>
      <c r="H114" s="249">
        <f>Données!H114</f>
        <v>6902709.9000000004</v>
      </c>
      <c r="I114" s="249">
        <f>Données!I114</f>
        <v>295030.59999999998</v>
      </c>
      <c r="J114" s="249">
        <f>Données!J114</f>
        <v>-123764.6</v>
      </c>
      <c r="K114" s="249">
        <f>Données!K114</f>
        <v>61817.03</v>
      </c>
      <c r="L114" s="249">
        <f>Données!L114</f>
        <v>-621934.98</v>
      </c>
      <c r="M114" s="249">
        <f>Données!M114</f>
        <v>0</v>
      </c>
      <c r="N114" s="249">
        <f>Données!N114</f>
        <v>684340.71211216995</v>
      </c>
      <c r="O114" s="249">
        <f>Données!O114</f>
        <v>3511664.3</v>
      </c>
      <c r="P114" s="249">
        <f>Données!P114</f>
        <v>1505163.45</v>
      </c>
      <c r="Q114" s="249">
        <f>Données!Q114</f>
        <v>387406</v>
      </c>
      <c r="R114" s="249">
        <f>Données!R114</f>
        <v>-90659.199999999997</v>
      </c>
      <c r="S114" s="241"/>
      <c r="T114" s="233">
        <f t="shared" si="6"/>
        <v>28502229.973796416</v>
      </c>
      <c r="U114" s="250">
        <f t="shared" si="7"/>
        <v>2701280.2307692305</v>
      </c>
      <c r="V114" s="250">
        <f t="shared" si="8"/>
        <v>1801910.25</v>
      </c>
      <c r="W114" s="251">
        <f t="shared" si="9"/>
        <v>33005420.454565648</v>
      </c>
      <c r="X114" s="233">
        <f t="shared" si="10"/>
        <v>2525.4740572779592</v>
      </c>
      <c r="Y114" s="252">
        <f t="shared" si="11"/>
        <v>0.7366351497197694</v>
      </c>
    </row>
    <row r="115" spans="1:25" x14ac:dyDescent="0.25">
      <c r="A115" s="108">
        <f>Données!A115</f>
        <v>5590</v>
      </c>
      <c r="B115" s="116" t="str">
        <f>Données!B115</f>
        <v>Pully</v>
      </c>
      <c r="C115" s="246">
        <f>Données!C115</f>
        <v>19550</v>
      </c>
      <c r="D115" s="247">
        <f>Données!D115</f>
        <v>61</v>
      </c>
      <c r="E115" s="248">
        <f>Données!E115</f>
        <v>0.7</v>
      </c>
      <c r="F115" s="249">
        <f>Données!F115</f>
        <v>59676350.590000004</v>
      </c>
      <c r="G115" s="249">
        <f>Données!G115</f>
        <v>18837277.77</v>
      </c>
      <c r="H115" s="249">
        <f>Données!H115</f>
        <v>12882446.25</v>
      </c>
      <c r="I115" s="249">
        <f>Données!I115</f>
        <v>1734044.9</v>
      </c>
      <c r="J115" s="249">
        <f>Données!J115</f>
        <v>2671442.46</v>
      </c>
      <c r="K115" s="249">
        <f>Données!K115</f>
        <v>255077.3</v>
      </c>
      <c r="L115" s="249">
        <f>Données!L115</f>
        <v>-469373.44</v>
      </c>
      <c r="M115" s="249">
        <f>Données!M115</f>
        <v>0</v>
      </c>
      <c r="N115" s="249">
        <f>Données!N115</f>
        <v>1389694.4412169668</v>
      </c>
      <c r="O115" s="249">
        <f>Données!O115</f>
        <v>4231163.75</v>
      </c>
      <c r="P115" s="249">
        <f>Données!P115</f>
        <v>1235849.9099999999</v>
      </c>
      <c r="Q115" s="249">
        <f>Données!Q115</f>
        <v>540667.85</v>
      </c>
      <c r="R115" s="249">
        <f>Données!R115</f>
        <v>-258663.03</v>
      </c>
      <c r="S115" s="241"/>
      <c r="T115" s="233">
        <f t="shared" si="6"/>
        <v>107145473.61404188</v>
      </c>
      <c r="U115" s="250">
        <f t="shared" si="7"/>
        <v>6044519.6428571437</v>
      </c>
      <c r="V115" s="250">
        <f t="shared" si="8"/>
        <v>1517854.7299999997</v>
      </c>
      <c r="W115" s="251">
        <f t="shared" si="9"/>
        <v>114707847.98689903</v>
      </c>
      <c r="X115" s="233">
        <f t="shared" si="10"/>
        <v>5867.4091041892088</v>
      </c>
      <c r="Y115" s="252">
        <f t="shared" si="11"/>
        <v>1.7114172174827658</v>
      </c>
    </row>
    <row r="116" spans="1:25" x14ac:dyDescent="0.25">
      <c r="A116" s="108">
        <f>Données!A116</f>
        <v>5591</v>
      </c>
      <c r="B116" s="116" t="str">
        <f>Données!B116</f>
        <v>Renens</v>
      </c>
      <c r="C116" s="246">
        <f>Données!C116</f>
        <v>21827</v>
      </c>
      <c r="D116" s="247">
        <f>Données!D116</f>
        <v>77</v>
      </c>
      <c r="E116" s="248">
        <f>Données!E116</f>
        <v>1.4</v>
      </c>
      <c r="F116" s="249">
        <f>Données!F116</f>
        <v>30437353.850000001</v>
      </c>
      <c r="G116" s="249">
        <f>Données!G116</f>
        <v>3315297.4</v>
      </c>
      <c r="H116" s="249">
        <f>Données!H116</f>
        <v>7806393.25</v>
      </c>
      <c r="I116" s="249">
        <f>Données!I116</f>
        <v>552444.65</v>
      </c>
      <c r="J116" s="249">
        <f>Données!J116</f>
        <v>0</v>
      </c>
      <c r="K116" s="249">
        <f>Données!K116</f>
        <v>409429.57</v>
      </c>
      <c r="L116" s="249">
        <f>Données!L116</f>
        <v>-1116864.6000000001</v>
      </c>
      <c r="M116" s="249">
        <f>Données!M116</f>
        <v>0</v>
      </c>
      <c r="N116" s="249">
        <f>Données!N116</f>
        <v>794734.55328324158</v>
      </c>
      <c r="O116" s="249">
        <f>Données!O116</f>
        <v>5990516.4500000002</v>
      </c>
      <c r="P116" s="249">
        <f>Données!P116</f>
        <v>3161130.33</v>
      </c>
      <c r="Q116" s="249">
        <f>Données!Q116</f>
        <v>1039759.95</v>
      </c>
      <c r="R116" s="249">
        <f>Données!R116</f>
        <v>-33979.370000000003</v>
      </c>
      <c r="S116" s="241"/>
      <c r="T116" s="233">
        <f t="shared" si="6"/>
        <v>36935531.786783673</v>
      </c>
      <c r="U116" s="250">
        <f t="shared" si="7"/>
        <v>4278940.3214285718</v>
      </c>
      <c r="V116" s="250">
        <f t="shared" si="8"/>
        <v>4166910.91</v>
      </c>
      <c r="W116" s="251">
        <f t="shared" si="9"/>
        <v>45381383.018212244</v>
      </c>
      <c r="X116" s="233">
        <f t="shared" si="10"/>
        <v>2079.1397360247511</v>
      </c>
      <c r="Y116" s="252">
        <f t="shared" si="11"/>
        <v>0.60644749302461221</v>
      </c>
    </row>
    <row r="117" spans="1:25" x14ac:dyDescent="0.25">
      <c r="A117" s="108">
        <f>Données!A117</f>
        <v>5592</v>
      </c>
      <c r="B117" s="116" t="str">
        <f>Données!B117</f>
        <v>Romanel-sur-Lausanne</v>
      </c>
      <c r="C117" s="246">
        <f>Données!C117</f>
        <v>4331</v>
      </c>
      <c r="D117" s="247">
        <f>Données!D117</f>
        <v>70.5</v>
      </c>
      <c r="E117" s="248">
        <f>Données!E117</f>
        <v>1.25</v>
      </c>
      <c r="F117" s="249">
        <f>Données!F117</f>
        <v>7304778.5899999999</v>
      </c>
      <c r="G117" s="249">
        <f>Données!G117</f>
        <v>974648.49</v>
      </c>
      <c r="H117" s="249">
        <f>Données!H117</f>
        <v>768536.2</v>
      </c>
      <c r="I117" s="249">
        <f>Données!I117</f>
        <v>46582.95</v>
      </c>
      <c r="J117" s="249">
        <f>Données!J117</f>
        <v>0</v>
      </c>
      <c r="K117" s="249">
        <f>Données!K117</f>
        <v>112256.5</v>
      </c>
      <c r="L117" s="249">
        <f>Données!L117</f>
        <v>-179502.11</v>
      </c>
      <c r="M117" s="249">
        <f>Données!M117</f>
        <v>0</v>
      </c>
      <c r="N117" s="249">
        <f>Données!N117</f>
        <v>77499.212366334497</v>
      </c>
      <c r="O117" s="249">
        <f>Données!O117</f>
        <v>1200013</v>
      </c>
      <c r="P117" s="249">
        <f>Données!P117</f>
        <v>326703.12</v>
      </c>
      <c r="Q117" s="249">
        <f>Données!Q117</f>
        <v>84996</v>
      </c>
      <c r="R117" s="249">
        <f>Données!R117</f>
        <v>-18906.45</v>
      </c>
      <c r="S117" s="241"/>
      <c r="T117" s="233">
        <f t="shared" si="6"/>
        <v>8703949.8918853961</v>
      </c>
      <c r="U117" s="250">
        <f t="shared" si="7"/>
        <v>960010.4</v>
      </c>
      <c r="V117" s="250">
        <f t="shared" si="8"/>
        <v>392792.67</v>
      </c>
      <c r="W117" s="251">
        <f t="shared" si="9"/>
        <v>10056752.961885396</v>
      </c>
      <c r="X117" s="233">
        <f t="shared" si="10"/>
        <v>2322.0394739980134</v>
      </c>
      <c r="Y117" s="252">
        <f t="shared" si="11"/>
        <v>0.67729695763629072</v>
      </c>
    </row>
    <row r="118" spans="1:25" x14ac:dyDescent="0.25">
      <c r="A118" s="108">
        <f>Données!A118</f>
        <v>5601</v>
      </c>
      <c r="B118" s="116" t="str">
        <f>Données!B118</f>
        <v>Chexbres</v>
      </c>
      <c r="C118" s="246">
        <f>Données!C118</f>
        <v>2272</v>
      </c>
      <c r="D118" s="247">
        <f>Données!D118</f>
        <v>67.5</v>
      </c>
      <c r="E118" s="248">
        <f>Données!E118</f>
        <v>1</v>
      </c>
      <c r="F118" s="249">
        <f>Données!F118</f>
        <v>5974068.29</v>
      </c>
      <c r="G118" s="249">
        <f>Données!G118</f>
        <v>1191744.25</v>
      </c>
      <c r="H118" s="249">
        <f>Données!H118</f>
        <v>89763.3</v>
      </c>
      <c r="I118" s="249">
        <f>Données!I118</f>
        <v>14921.45</v>
      </c>
      <c r="J118" s="249">
        <f>Données!J118</f>
        <v>0</v>
      </c>
      <c r="K118" s="249">
        <f>Données!K118</f>
        <v>17614.59</v>
      </c>
      <c r="L118" s="249">
        <f>Données!L118</f>
        <v>-67830.27</v>
      </c>
      <c r="M118" s="249">
        <f>Données!M118</f>
        <v>0</v>
      </c>
      <c r="N118" s="249">
        <f>Données!N118</f>
        <v>9953.1285355848122</v>
      </c>
      <c r="O118" s="249">
        <f>Données!O118</f>
        <v>522461.05</v>
      </c>
      <c r="P118" s="249">
        <f>Données!P118</f>
        <v>53612.78</v>
      </c>
      <c r="Q118" s="249">
        <f>Données!Q118</f>
        <v>33356.050000000003</v>
      </c>
      <c r="R118" s="249">
        <f>Données!R118</f>
        <v>-11163.9</v>
      </c>
      <c r="S118" s="241"/>
      <c r="T118" s="233">
        <f t="shared" si="6"/>
        <v>7219111.0315053975</v>
      </c>
      <c r="U118" s="250">
        <f t="shared" si="7"/>
        <v>522461.05</v>
      </c>
      <c r="V118" s="250">
        <f t="shared" si="8"/>
        <v>75804.930000000008</v>
      </c>
      <c r="W118" s="251">
        <f t="shared" si="9"/>
        <v>7817377.011505397</v>
      </c>
      <c r="X118" s="233">
        <f t="shared" si="10"/>
        <v>3440.7469240780797</v>
      </c>
      <c r="Y118" s="252">
        <f t="shared" si="11"/>
        <v>1.003603706900851</v>
      </c>
    </row>
    <row r="119" spans="1:25" x14ac:dyDescent="0.25">
      <c r="A119" s="108">
        <f>Données!A119</f>
        <v>5604</v>
      </c>
      <c r="B119" s="116" t="str">
        <f>Données!B119</f>
        <v>Forel (Lavaux)</v>
      </c>
      <c r="C119" s="246">
        <f>Données!C119</f>
        <v>2113</v>
      </c>
      <c r="D119" s="247">
        <f>Données!D119</f>
        <v>69</v>
      </c>
      <c r="E119" s="248">
        <f>Données!E119</f>
        <v>1</v>
      </c>
      <c r="F119" s="249">
        <f>Données!F119</f>
        <v>3905133.46</v>
      </c>
      <c r="G119" s="249">
        <f>Données!G119</f>
        <v>1037615.37</v>
      </c>
      <c r="H119" s="249">
        <f>Données!H119</f>
        <v>224956.1</v>
      </c>
      <c r="I119" s="249">
        <f>Données!I119</f>
        <v>13897.35</v>
      </c>
      <c r="J119" s="249">
        <f>Données!J119</f>
        <v>20966.13</v>
      </c>
      <c r="K119" s="249">
        <f>Données!K119</f>
        <v>31274.83</v>
      </c>
      <c r="L119" s="249">
        <f>Données!L119</f>
        <v>-32045.33</v>
      </c>
      <c r="M119" s="249">
        <f>Données!M119</f>
        <v>0</v>
      </c>
      <c r="N119" s="249">
        <f>Données!N119</f>
        <v>22709.507249316448</v>
      </c>
      <c r="O119" s="249">
        <f>Données!O119</f>
        <v>446448.78</v>
      </c>
      <c r="P119" s="249">
        <f>Données!P119</f>
        <v>68720.34</v>
      </c>
      <c r="Q119" s="249">
        <f>Données!Q119</f>
        <v>35532.65</v>
      </c>
      <c r="R119" s="249">
        <f>Données!R119</f>
        <v>-17874.39</v>
      </c>
      <c r="S119" s="241"/>
      <c r="T119" s="233">
        <f t="shared" si="6"/>
        <v>5103068.0078879381</v>
      </c>
      <c r="U119" s="250">
        <f t="shared" si="7"/>
        <v>446448.78</v>
      </c>
      <c r="V119" s="250">
        <f t="shared" si="8"/>
        <v>86378.599999999991</v>
      </c>
      <c r="W119" s="251">
        <f t="shared" si="9"/>
        <v>5635895.3878879379</v>
      </c>
      <c r="X119" s="233">
        <f t="shared" si="10"/>
        <v>2667.2481722138846</v>
      </c>
      <c r="Y119" s="252">
        <f t="shared" si="11"/>
        <v>0.77798809733023799</v>
      </c>
    </row>
    <row r="120" spans="1:25" x14ac:dyDescent="0.25">
      <c r="A120" s="108">
        <f>Données!A120</f>
        <v>5606</v>
      </c>
      <c r="B120" s="116" t="str">
        <f>Données!B120</f>
        <v>Lutry</v>
      </c>
      <c r="C120" s="246">
        <f>Données!C120</f>
        <v>10843</v>
      </c>
      <c r="D120" s="247">
        <f>Données!D120</f>
        <v>54</v>
      </c>
      <c r="E120" s="248">
        <f>Données!E120</f>
        <v>0.7</v>
      </c>
      <c r="F120" s="249">
        <f>Données!F120</f>
        <v>34566450.700000003</v>
      </c>
      <c r="G120" s="249">
        <f>Données!G120</f>
        <v>8913766.3300000001</v>
      </c>
      <c r="H120" s="249">
        <f>Données!H120</f>
        <v>-1739739.4</v>
      </c>
      <c r="I120" s="249">
        <f>Données!I120</f>
        <v>5635383.5499999998</v>
      </c>
      <c r="J120" s="249">
        <f>Données!J120</f>
        <v>1077538.76</v>
      </c>
      <c r="K120" s="249">
        <f>Données!K120</f>
        <v>26289.08</v>
      </c>
      <c r="L120" s="249">
        <f>Données!L120</f>
        <v>-213982.66</v>
      </c>
      <c r="M120" s="249">
        <f>Données!M120</f>
        <v>0</v>
      </c>
      <c r="N120" s="249">
        <f>Données!N120</f>
        <v>370386.77509235142</v>
      </c>
      <c r="O120" s="249">
        <f>Données!O120</f>
        <v>2598667.35</v>
      </c>
      <c r="P120" s="249">
        <f>Données!P120</f>
        <v>771127.08</v>
      </c>
      <c r="Q120" s="249">
        <f>Données!Q120</f>
        <v>227300.2</v>
      </c>
      <c r="R120" s="249">
        <f>Données!R120</f>
        <v>-232992.31</v>
      </c>
      <c r="S120" s="241"/>
      <c r="T120" s="233">
        <f t="shared" si="6"/>
        <v>60701583.208898515</v>
      </c>
      <c r="U120" s="250">
        <f t="shared" si="7"/>
        <v>3712381.9285714291</v>
      </c>
      <c r="V120" s="250">
        <f t="shared" si="8"/>
        <v>765434.97</v>
      </c>
      <c r="W120" s="251">
        <f t="shared" si="9"/>
        <v>65179400.107469946</v>
      </c>
      <c r="X120" s="233">
        <f t="shared" si="10"/>
        <v>6011.1961733348653</v>
      </c>
      <c r="Y120" s="252">
        <f t="shared" si="11"/>
        <v>1.7533573074641453</v>
      </c>
    </row>
    <row r="121" spans="1:25" x14ac:dyDescent="0.25">
      <c r="A121" s="108">
        <f>Données!A121</f>
        <v>5607</v>
      </c>
      <c r="B121" s="116" t="str">
        <f>Données!B121</f>
        <v>Puidoux</v>
      </c>
      <c r="C121" s="246">
        <f>Données!C121</f>
        <v>3014</v>
      </c>
      <c r="D121" s="247">
        <f>Données!D121</f>
        <v>68.5</v>
      </c>
      <c r="E121" s="248">
        <f>Données!E121</f>
        <v>1.1499999999999999</v>
      </c>
      <c r="F121" s="249">
        <f>Données!F121</f>
        <v>5700508.3799999999</v>
      </c>
      <c r="G121" s="249">
        <f>Données!G121</f>
        <v>1084414.56</v>
      </c>
      <c r="H121" s="249">
        <f>Données!H121</f>
        <v>983582.35</v>
      </c>
      <c r="I121" s="249">
        <f>Données!I121</f>
        <v>221519.15</v>
      </c>
      <c r="J121" s="249">
        <f>Données!J121</f>
        <v>-80.25</v>
      </c>
      <c r="K121" s="249">
        <f>Données!K121</f>
        <v>24491.5</v>
      </c>
      <c r="L121" s="249">
        <f>Données!L121</f>
        <v>-78473.14</v>
      </c>
      <c r="M121" s="249">
        <f>Données!M121</f>
        <v>0</v>
      </c>
      <c r="N121" s="249">
        <f>Données!N121</f>
        <v>114577.6259476768</v>
      </c>
      <c r="O121" s="249">
        <f>Données!O121</f>
        <v>970712.35</v>
      </c>
      <c r="P121" s="249">
        <f>Données!P121</f>
        <v>228965.5</v>
      </c>
      <c r="Q121" s="249">
        <f>Données!Q121</f>
        <v>132299.4</v>
      </c>
      <c r="R121" s="249">
        <f>Données!R121</f>
        <v>-86963.520000000004</v>
      </c>
      <c r="S121" s="241"/>
      <c r="T121" s="233">
        <f t="shared" si="6"/>
        <v>7920809.1098896638</v>
      </c>
      <c r="U121" s="250">
        <f t="shared" si="7"/>
        <v>844097.69565217395</v>
      </c>
      <c r="V121" s="250">
        <f t="shared" si="8"/>
        <v>274301.38</v>
      </c>
      <c r="W121" s="251">
        <f t="shared" si="9"/>
        <v>9039208.1855418384</v>
      </c>
      <c r="X121" s="233">
        <f t="shared" si="10"/>
        <v>2999.0737178307359</v>
      </c>
      <c r="Y121" s="252">
        <f t="shared" si="11"/>
        <v>0.87477561323122222</v>
      </c>
    </row>
    <row r="122" spans="1:25" x14ac:dyDescent="0.25">
      <c r="A122" s="108">
        <f>Données!A122</f>
        <v>5609</v>
      </c>
      <c r="B122" s="116" t="str">
        <f>Données!B122</f>
        <v>Rivaz</v>
      </c>
      <c r="C122" s="246">
        <f>Données!C122</f>
        <v>330</v>
      </c>
      <c r="D122" s="247">
        <f>Données!D122</f>
        <v>62</v>
      </c>
      <c r="E122" s="248">
        <f>Données!E122</f>
        <v>1</v>
      </c>
      <c r="F122" s="249">
        <f>Données!F122</f>
        <v>790220.02</v>
      </c>
      <c r="G122" s="249">
        <f>Données!G122</f>
        <v>159507.35</v>
      </c>
      <c r="H122" s="249">
        <f>Données!H122</f>
        <v>7702.95</v>
      </c>
      <c r="I122" s="249">
        <f>Données!I122</f>
        <v>1370.1</v>
      </c>
      <c r="J122" s="249">
        <f>Données!J122</f>
        <v>0</v>
      </c>
      <c r="K122" s="249">
        <f>Données!K122</f>
        <v>0</v>
      </c>
      <c r="L122" s="249">
        <f>Données!L122</f>
        <v>-1285.3900000000001</v>
      </c>
      <c r="M122" s="249">
        <f>Données!M122</f>
        <v>0</v>
      </c>
      <c r="N122" s="249">
        <f>Données!N122</f>
        <v>862.63981009447662</v>
      </c>
      <c r="O122" s="249">
        <f>Données!O122</f>
        <v>65029.3</v>
      </c>
      <c r="P122" s="249">
        <f>Données!P122</f>
        <v>15900.33</v>
      </c>
      <c r="Q122" s="249">
        <f>Données!Q122</f>
        <v>-3228.6</v>
      </c>
      <c r="R122" s="249">
        <f>Données!R122</f>
        <v>-495.36</v>
      </c>
      <c r="S122" s="241"/>
      <c r="T122" s="233">
        <f t="shared" si="6"/>
        <v>1041789.781785452</v>
      </c>
      <c r="U122" s="250">
        <f t="shared" si="7"/>
        <v>65029.3</v>
      </c>
      <c r="V122" s="250">
        <f t="shared" si="8"/>
        <v>12176.369999999999</v>
      </c>
      <c r="W122" s="251">
        <f t="shared" si="9"/>
        <v>1118995.4517854522</v>
      </c>
      <c r="X122" s="233">
        <f t="shared" si="10"/>
        <v>3390.8953084407644</v>
      </c>
      <c r="Y122" s="252">
        <f t="shared" si="11"/>
        <v>0.98906289138823922</v>
      </c>
    </row>
    <row r="123" spans="1:25" x14ac:dyDescent="0.25">
      <c r="A123" s="108">
        <f>Données!A123</f>
        <v>5610</v>
      </c>
      <c r="B123" s="116" t="str">
        <f>Données!B123</f>
        <v>St-Saphorin (Lavaux)</v>
      </c>
      <c r="C123" s="246">
        <f>Données!C123</f>
        <v>393</v>
      </c>
      <c r="D123" s="247">
        <f>Données!D123</f>
        <v>74</v>
      </c>
      <c r="E123" s="248">
        <f>Données!E123</f>
        <v>1.2</v>
      </c>
      <c r="F123" s="249">
        <f>Données!F123</f>
        <v>1175066.97</v>
      </c>
      <c r="G123" s="249">
        <f>Données!G123</f>
        <v>333782.34000000003</v>
      </c>
      <c r="H123" s="249">
        <f>Données!H123</f>
        <v>16381.4</v>
      </c>
      <c r="I123" s="249">
        <f>Données!I123</f>
        <v>6391.15</v>
      </c>
      <c r="J123" s="249">
        <f>Données!J123</f>
        <v>-1727.2</v>
      </c>
      <c r="K123" s="249">
        <f>Données!K123</f>
        <v>0</v>
      </c>
      <c r="L123" s="249">
        <f>Données!L123</f>
        <v>-1815.35</v>
      </c>
      <c r="M123" s="249">
        <f>Données!M123</f>
        <v>0</v>
      </c>
      <c r="N123" s="249">
        <f>Données!N123</f>
        <v>2165.1493386862162</v>
      </c>
      <c r="O123" s="249">
        <f>Données!O123</f>
        <v>133311.75</v>
      </c>
      <c r="P123" s="249">
        <f>Données!P123</f>
        <v>14557.18</v>
      </c>
      <c r="Q123" s="249">
        <f>Données!Q123</f>
        <v>6811.15</v>
      </c>
      <c r="R123" s="249">
        <f>Données!R123</f>
        <v>-1456.1</v>
      </c>
      <c r="S123" s="241"/>
      <c r="T123" s="233">
        <f t="shared" si="6"/>
        <v>1393683.610287603</v>
      </c>
      <c r="U123" s="250">
        <f t="shared" si="7"/>
        <v>111093.125</v>
      </c>
      <c r="V123" s="250">
        <f t="shared" si="8"/>
        <v>19912.230000000003</v>
      </c>
      <c r="W123" s="251">
        <f t="shared" si="9"/>
        <v>1524688.965287603</v>
      </c>
      <c r="X123" s="233">
        <f t="shared" si="10"/>
        <v>3879.6156877547151</v>
      </c>
      <c r="Y123" s="252">
        <f t="shared" si="11"/>
        <v>1.1316137953460743</v>
      </c>
    </row>
    <row r="124" spans="1:25" x14ac:dyDescent="0.25">
      <c r="A124" s="108">
        <f>Données!A124</f>
        <v>5611</v>
      </c>
      <c r="B124" s="116" t="str">
        <f>Données!B124</f>
        <v>Savigny</v>
      </c>
      <c r="C124" s="246">
        <f>Données!C124</f>
        <v>3598</v>
      </c>
      <c r="D124" s="247">
        <f>Données!D124</f>
        <v>69</v>
      </c>
      <c r="E124" s="248">
        <f>Données!E124</f>
        <v>1.2</v>
      </c>
      <c r="F124" s="249">
        <f>Données!F124</f>
        <v>7913654.29</v>
      </c>
      <c r="G124" s="249">
        <f>Données!G124</f>
        <v>1380085.12</v>
      </c>
      <c r="H124" s="249">
        <f>Données!H124</f>
        <v>200482.2</v>
      </c>
      <c r="I124" s="249">
        <f>Données!I124</f>
        <v>25656.3</v>
      </c>
      <c r="J124" s="249">
        <f>Données!J124</f>
        <v>61535.8</v>
      </c>
      <c r="K124" s="249">
        <f>Données!K124</f>
        <v>26361.01</v>
      </c>
      <c r="L124" s="249">
        <f>Données!L124</f>
        <v>-140276.68</v>
      </c>
      <c r="M124" s="249">
        <f>Données!M124</f>
        <v>0</v>
      </c>
      <c r="N124" s="249">
        <f>Données!N124</f>
        <v>21500.60593681836</v>
      </c>
      <c r="O124" s="249">
        <f>Données!O124</f>
        <v>909058.15</v>
      </c>
      <c r="P124" s="249">
        <f>Données!P124</f>
        <v>165820.37</v>
      </c>
      <c r="Q124" s="249">
        <f>Données!Q124</f>
        <v>27838.400000000001</v>
      </c>
      <c r="R124" s="249">
        <f>Données!R124</f>
        <v>-9153.65</v>
      </c>
      <c r="S124" s="241"/>
      <c r="T124" s="233">
        <f t="shared" si="6"/>
        <v>9268434.6197113208</v>
      </c>
      <c r="U124" s="250">
        <f t="shared" si="7"/>
        <v>757548.45833333337</v>
      </c>
      <c r="V124" s="250">
        <f t="shared" si="8"/>
        <v>184505.12</v>
      </c>
      <c r="W124" s="251">
        <f t="shared" si="9"/>
        <v>10210488.198044654</v>
      </c>
      <c r="X124" s="233">
        <f t="shared" si="10"/>
        <v>2837.8232901736114</v>
      </c>
      <c r="Y124" s="252">
        <f t="shared" si="11"/>
        <v>0.82774177711745478</v>
      </c>
    </row>
    <row r="125" spans="1:25" x14ac:dyDescent="0.25">
      <c r="A125" s="108">
        <f>Données!A125</f>
        <v>5613</v>
      </c>
      <c r="B125" s="116" t="str">
        <f>Données!B125</f>
        <v>Bourg-en-Lavaux</v>
      </c>
      <c r="C125" s="246">
        <f>Données!C125</f>
        <v>5558</v>
      </c>
      <c r="D125" s="247">
        <f>Données!D125</f>
        <v>62.5</v>
      </c>
      <c r="E125" s="248">
        <f>Données!E125</f>
        <v>1.5</v>
      </c>
      <c r="F125" s="249">
        <f>Données!F125</f>
        <v>18057600.289999999</v>
      </c>
      <c r="G125" s="249">
        <f>Données!G125</f>
        <v>5090680.43</v>
      </c>
      <c r="H125" s="249">
        <f>Données!H125</f>
        <v>251879.05</v>
      </c>
      <c r="I125" s="249">
        <f>Données!I125</f>
        <v>34217.85</v>
      </c>
      <c r="J125" s="249">
        <f>Données!J125</f>
        <v>226561.3</v>
      </c>
      <c r="K125" s="249">
        <f>Données!K125</f>
        <v>47383.23</v>
      </c>
      <c r="L125" s="249">
        <f>Données!L125</f>
        <v>-234687.46</v>
      </c>
      <c r="M125" s="249">
        <f>Données!M125</f>
        <v>0</v>
      </c>
      <c r="N125" s="249">
        <f>Données!N125</f>
        <v>27201.280218296877</v>
      </c>
      <c r="O125" s="249">
        <f>Données!O125</f>
        <v>2581603.7999999998</v>
      </c>
      <c r="P125" s="249">
        <f>Données!P125</f>
        <v>474664.69</v>
      </c>
      <c r="Q125" s="249">
        <f>Données!Q125</f>
        <v>44800.1</v>
      </c>
      <c r="R125" s="249">
        <f>Données!R125</f>
        <v>-34627.800000000003</v>
      </c>
      <c r="S125" s="241"/>
      <c r="T125" s="233">
        <f t="shared" si="6"/>
        <v>25341854.360801693</v>
      </c>
      <c r="U125" s="250">
        <f t="shared" si="7"/>
        <v>1721069.2</v>
      </c>
      <c r="V125" s="250">
        <f t="shared" si="8"/>
        <v>484836.99</v>
      </c>
      <c r="W125" s="251">
        <f t="shared" si="9"/>
        <v>27547760.550801691</v>
      </c>
      <c r="X125" s="233">
        <f t="shared" si="10"/>
        <v>4956.4160760708328</v>
      </c>
      <c r="Y125" s="252">
        <f t="shared" si="11"/>
        <v>1.4456970119127479</v>
      </c>
    </row>
    <row r="126" spans="1:25" x14ac:dyDescent="0.25">
      <c r="A126" s="108">
        <f>Données!A126</f>
        <v>5621</v>
      </c>
      <c r="B126" s="116" t="str">
        <f>Données!B126</f>
        <v>Aclens</v>
      </c>
      <c r="C126" s="246">
        <f>Données!C126</f>
        <v>609</v>
      </c>
      <c r="D126" s="247">
        <f>Données!D126</f>
        <v>60</v>
      </c>
      <c r="E126" s="248">
        <f>Données!E126</f>
        <v>1.1000000000000001</v>
      </c>
      <c r="F126" s="249">
        <f>Données!F126</f>
        <v>1224483.6599999999</v>
      </c>
      <c r="G126" s="249">
        <f>Données!G126</f>
        <v>144152.67000000001</v>
      </c>
      <c r="H126" s="249">
        <f>Données!H126</f>
        <v>447139.1</v>
      </c>
      <c r="I126" s="249">
        <f>Données!I126</f>
        <v>24693.45</v>
      </c>
      <c r="J126" s="249">
        <f>Données!J126</f>
        <v>0</v>
      </c>
      <c r="K126" s="249">
        <f>Données!K126</f>
        <v>884.54</v>
      </c>
      <c r="L126" s="249">
        <f>Données!L126</f>
        <v>-9326.98</v>
      </c>
      <c r="M126" s="249">
        <f>Données!M126</f>
        <v>0</v>
      </c>
      <c r="N126" s="249">
        <f>Données!N126</f>
        <v>44860.497994433259</v>
      </c>
      <c r="O126" s="249">
        <f>Données!O126</f>
        <v>359058.3</v>
      </c>
      <c r="P126" s="249">
        <f>Données!P126</f>
        <v>81289.8</v>
      </c>
      <c r="Q126" s="249">
        <f>Données!Q126</f>
        <v>37132.050000000003</v>
      </c>
      <c r="R126" s="249">
        <f>Données!R126</f>
        <v>-181.15</v>
      </c>
      <c r="S126" s="241"/>
      <c r="T126" s="233">
        <f t="shared" si="6"/>
        <v>2108249.2685323036</v>
      </c>
      <c r="U126" s="250">
        <f t="shared" si="7"/>
        <v>326416.63636363635</v>
      </c>
      <c r="V126" s="250">
        <f t="shared" si="8"/>
        <v>118240.70000000001</v>
      </c>
      <c r="W126" s="251">
        <f t="shared" si="9"/>
        <v>2552906.6048959401</v>
      </c>
      <c r="X126" s="233">
        <f t="shared" si="10"/>
        <v>4191.9648684662397</v>
      </c>
      <c r="Y126" s="252">
        <f t="shared" si="11"/>
        <v>1.2227204075225926</v>
      </c>
    </row>
    <row r="127" spans="1:25" x14ac:dyDescent="0.25">
      <c r="A127" s="108">
        <f>Données!A127</f>
        <v>5622</v>
      </c>
      <c r="B127" s="116" t="str">
        <f>Données!B127</f>
        <v>Bremblens</v>
      </c>
      <c r="C127" s="246">
        <f>Données!C127</f>
        <v>596</v>
      </c>
      <c r="D127" s="247">
        <f>Données!D127</f>
        <v>68</v>
      </c>
      <c r="E127" s="248">
        <f>Données!E127</f>
        <v>1</v>
      </c>
      <c r="F127" s="249">
        <f>Données!F127</f>
        <v>1814456.55</v>
      </c>
      <c r="G127" s="249">
        <f>Données!G127</f>
        <v>324075.71000000002</v>
      </c>
      <c r="H127" s="249">
        <f>Données!H127</f>
        <v>101773.35</v>
      </c>
      <c r="I127" s="249">
        <f>Données!I127</f>
        <v>2832.8</v>
      </c>
      <c r="J127" s="249">
        <f>Données!J127</f>
        <v>0</v>
      </c>
      <c r="K127" s="249">
        <f>Données!K127</f>
        <v>0</v>
      </c>
      <c r="L127" s="249">
        <f>Données!L127</f>
        <v>-20455.89</v>
      </c>
      <c r="M127" s="249">
        <f>Données!M127</f>
        <v>0</v>
      </c>
      <c r="N127" s="249">
        <f>Données!N127</f>
        <v>9945.655470951262</v>
      </c>
      <c r="O127" s="249">
        <f>Données!O127</f>
        <v>171286.05</v>
      </c>
      <c r="P127" s="249">
        <f>Données!P127</f>
        <v>23398.2</v>
      </c>
      <c r="Q127" s="249">
        <f>Données!Q127</f>
        <v>6741.2</v>
      </c>
      <c r="R127" s="249">
        <f>Données!R127</f>
        <v>-472.78</v>
      </c>
      <c r="S127" s="241"/>
      <c r="T127" s="233">
        <f t="shared" si="6"/>
        <v>2212802.1527800011</v>
      </c>
      <c r="U127" s="250">
        <f t="shared" si="7"/>
        <v>171286.05</v>
      </c>
      <c r="V127" s="250">
        <f t="shared" si="8"/>
        <v>29666.620000000003</v>
      </c>
      <c r="W127" s="251">
        <f t="shared" si="9"/>
        <v>2413754.822780001</v>
      </c>
      <c r="X127" s="233">
        <f t="shared" si="10"/>
        <v>4049.9241992953039</v>
      </c>
      <c r="Y127" s="252">
        <f t="shared" si="11"/>
        <v>1.1812897108581397</v>
      </c>
    </row>
    <row r="128" spans="1:25" x14ac:dyDescent="0.25">
      <c r="A128" s="108">
        <f>Données!A128</f>
        <v>5623</v>
      </c>
      <c r="B128" s="116" t="str">
        <f>Données!B128</f>
        <v>Buchillon</v>
      </c>
      <c r="C128" s="246">
        <f>Données!C128</f>
        <v>682</v>
      </c>
      <c r="D128" s="247">
        <f>Données!D128</f>
        <v>52</v>
      </c>
      <c r="E128" s="248">
        <f>Données!E128</f>
        <v>1</v>
      </c>
      <c r="F128" s="249">
        <f>Données!F128</f>
        <v>2741647.26</v>
      </c>
      <c r="G128" s="249">
        <f>Données!G128</f>
        <v>1520163.04</v>
      </c>
      <c r="H128" s="249">
        <f>Données!H128</f>
        <v>89134.1</v>
      </c>
      <c r="I128" s="249">
        <f>Données!I128</f>
        <v>162938.9</v>
      </c>
      <c r="J128" s="249">
        <f>Données!J128</f>
        <v>177691.85</v>
      </c>
      <c r="K128" s="249">
        <f>Données!K128</f>
        <v>1288.27</v>
      </c>
      <c r="L128" s="249">
        <f>Données!L128</f>
        <v>-3642.52</v>
      </c>
      <c r="M128" s="249">
        <f>Données!M128</f>
        <v>0</v>
      </c>
      <c r="N128" s="249">
        <f>Données!N128</f>
        <v>23966.384495836024</v>
      </c>
      <c r="O128" s="249">
        <f>Données!O128</f>
        <v>397868.35</v>
      </c>
      <c r="P128" s="249">
        <f>Données!P128</f>
        <v>-49163.45</v>
      </c>
      <c r="Q128" s="249">
        <f>Données!Q128</f>
        <v>2581.8000000000002</v>
      </c>
      <c r="R128" s="249">
        <f>Données!R128</f>
        <v>-44811.37</v>
      </c>
      <c r="S128" s="241"/>
      <c r="T128" s="233">
        <f t="shared" si="6"/>
        <v>6108666.9903179351</v>
      </c>
      <c r="U128" s="250">
        <f t="shared" si="7"/>
        <v>397868.35</v>
      </c>
      <c r="V128" s="250">
        <f t="shared" si="8"/>
        <v>-91393.01999999999</v>
      </c>
      <c r="W128" s="251">
        <f t="shared" si="9"/>
        <v>6415142.3203179352</v>
      </c>
      <c r="X128" s="233">
        <f t="shared" si="10"/>
        <v>9406.3670385893474</v>
      </c>
      <c r="Y128" s="252">
        <f t="shared" si="11"/>
        <v>2.7436673015199142</v>
      </c>
    </row>
    <row r="129" spans="1:25" x14ac:dyDescent="0.25">
      <c r="A129" s="108">
        <f>Données!A129</f>
        <v>5624</v>
      </c>
      <c r="B129" s="116" t="str">
        <f>Données!B129</f>
        <v>Bussigny</v>
      </c>
      <c r="C129" s="246">
        <f>Données!C129</f>
        <v>12138</v>
      </c>
      <c r="D129" s="247">
        <f>Données!D129</f>
        <v>62.5</v>
      </c>
      <c r="E129" s="248">
        <f>Données!E129</f>
        <v>1.25</v>
      </c>
      <c r="F129" s="249">
        <f>Données!F129</f>
        <v>18667988.489999998</v>
      </c>
      <c r="G129" s="249">
        <f>Données!G129</f>
        <v>1809506.35</v>
      </c>
      <c r="H129" s="249">
        <f>Données!H129</f>
        <v>1895066.2</v>
      </c>
      <c r="I129" s="249">
        <f>Données!I129</f>
        <v>219972</v>
      </c>
      <c r="J129" s="249">
        <f>Données!J129</f>
        <v>0</v>
      </c>
      <c r="K129" s="249">
        <f>Données!K129</f>
        <v>37240.11</v>
      </c>
      <c r="L129" s="249">
        <f>Données!L129</f>
        <v>-367823.6</v>
      </c>
      <c r="M129" s="249">
        <f>Données!M129</f>
        <v>0</v>
      </c>
      <c r="N129" s="249">
        <f>Données!N129</f>
        <v>201091.82151432693</v>
      </c>
      <c r="O129" s="249">
        <f>Données!O129</f>
        <v>3451791.85</v>
      </c>
      <c r="P129" s="249">
        <f>Données!P129</f>
        <v>1489134.9</v>
      </c>
      <c r="Q129" s="249">
        <f>Données!Q129</f>
        <v>507525.5</v>
      </c>
      <c r="R129" s="249">
        <f>Données!R129</f>
        <v>-7744.95</v>
      </c>
      <c r="S129" s="241"/>
      <c r="T129" s="233">
        <f t="shared" si="6"/>
        <v>24222760.571537722</v>
      </c>
      <c r="U129" s="250">
        <f t="shared" si="7"/>
        <v>2761433.48</v>
      </c>
      <c r="V129" s="250">
        <f t="shared" si="8"/>
        <v>1988915.45</v>
      </c>
      <c r="W129" s="251">
        <f t="shared" si="9"/>
        <v>28973109.501537722</v>
      </c>
      <c r="X129" s="233">
        <f t="shared" si="10"/>
        <v>2386.9755727086604</v>
      </c>
      <c r="Y129" s="252">
        <f t="shared" si="11"/>
        <v>0.69623764429988388</v>
      </c>
    </row>
    <row r="130" spans="1:25" x14ac:dyDescent="0.25">
      <c r="A130" s="108">
        <f>Données!A130</f>
        <v>5627</v>
      </c>
      <c r="B130" s="116" t="str">
        <f>Données!B130</f>
        <v>Chavannes-près-Renens</v>
      </c>
      <c r="C130" s="246">
        <f>Données!C130</f>
        <v>10735</v>
      </c>
      <c r="D130" s="247">
        <f>Données!D130</f>
        <v>77.5</v>
      </c>
      <c r="E130" s="248">
        <f>Données!E130</f>
        <v>1.5</v>
      </c>
      <c r="F130" s="249">
        <f>Données!F130</f>
        <v>13233540.02</v>
      </c>
      <c r="G130" s="249">
        <f>Données!G130</f>
        <v>509627.02</v>
      </c>
      <c r="H130" s="249">
        <f>Données!H130</f>
        <v>2069641.8</v>
      </c>
      <c r="I130" s="249">
        <f>Données!I130</f>
        <v>235751.9</v>
      </c>
      <c r="J130" s="249">
        <f>Données!J130</f>
        <v>0</v>
      </c>
      <c r="K130" s="249">
        <f>Données!K130</f>
        <v>75596.03</v>
      </c>
      <c r="L130" s="249">
        <f>Données!L130</f>
        <v>-395461.3</v>
      </c>
      <c r="M130" s="249">
        <f>Données!M130</f>
        <v>0</v>
      </c>
      <c r="N130" s="249">
        <f>Données!N130</f>
        <v>219190.28149971654</v>
      </c>
      <c r="O130" s="249">
        <f>Données!O130</f>
        <v>1969604.25</v>
      </c>
      <c r="P130" s="249">
        <f>Données!P130</f>
        <v>1474463.83</v>
      </c>
      <c r="Q130" s="249">
        <f>Données!Q130</f>
        <v>329914.05</v>
      </c>
      <c r="R130" s="249">
        <f>Données!R130</f>
        <v>-4945.3999999999996</v>
      </c>
      <c r="S130" s="241"/>
      <c r="T130" s="233">
        <f t="shared" si="6"/>
        <v>13868724.149456775</v>
      </c>
      <c r="U130" s="250">
        <f t="shared" si="7"/>
        <v>1313069.5</v>
      </c>
      <c r="V130" s="250">
        <f t="shared" si="8"/>
        <v>1799432.4800000002</v>
      </c>
      <c r="W130" s="251">
        <f t="shared" si="9"/>
        <v>16981226.129456773</v>
      </c>
      <c r="X130" s="233">
        <f t="shared" si="10"/>
        <v>1581.8561834612738</v>
      </c>
      <c r="Y130" s="252">
        <f t="shared" si="11"/>
        <v>0.46139886615785902</v>
      </c>
    </row>
    <row r="131" spans="1:25" x14ac:dyDescent="0.25">
      <c r="A131" s="108">
        <f>Données!A131</f>
        <v>5628</v>
      </c>
      <c r="B131" s="116" t="str">
        <f>Données!B131</f>
        <v>Chigny</v>
      </c>
      <c r="C131" s="246">
        <f>Données!C131</f>
        <v>410</v>
      </c>
      <c r="D131" s="247">
        <f>Données!D131</f>
        <v>62</v>
      </c>
      <c r="E131" s="248">
        <f>Données!E131</f>
        <v>1</v>
      </c>
      <c r="F131" s="249">
        <f>Données!F131</f>
        <v>1684003.64</v>
      </c>
      <c r="G131" s="249">
        <f>Données!G131</f>
        <v>0</v>
      </c>
      <c r="H131" s="249">
        <f>Données!H131</f>
        <v>8460</v>
      </c>
      <c r="I131" s="249">
        <f>Données!I131</f>
        <v>1726.1</v>
      </c>
      <c r="J131" s="249">
        <f>Données!J131</f>
        <v>0</v>
      </c>
      <c r="K131" s="249">
        <f>Données!K131</f>
        <v>0</v>
      </c>
      <c r="L131" s="249">
        <f>Données!L131</f>
        <v>-20199.52</v>
      </c>
      <c r="M131" s="249">
        <f>Données!M131</f>
        <v>0</v>
      </c>
      <c r="N131" s="249">
        <f>Données!N131</f>
        <v>968.46544101524296</v>
      </c>
      <c r="O131" s="249">
        <f>Données!O131</f>
        <v>119976.3</v>
      </c>
      <c r="P131" s="249">
        <f>Données!P131</f>
        <v>19331.53</v>
      </c>
      <c r="Q131" s="249">
        <f>Données!Q131</f>
        <v>1308</v>
      </c>
      <c r="R131" s="249">
        <f>Données!R131</f>
        <v>-2526.8000000000002</v>
      </c>
      <c r="S131" s="241"/>
      <c r="T131" s="233">
        <f t="shared" si="6"/>
        <v>1820738.2103873636</v>
      </c>
      <c r="U131" s="250">
        <f t="shared" si="7"/>
        <v>119976.3</v>
      </c>
      <c r="V131" s="250">
        <f t="shared" si="8"/>
        <v>18112.73</v>
      </c>
      <c r="W131" s="251">
        <f t="shared" si="9"/>
        <v>1958827.2403873636</v>
      </c>
      <c r="X131" s="233">
        <f t="shared" si="10"/>
        <v>4777.6274155789351</v>
      </c>
      <c r="Y131" s="252">
        <f t="shared" si="11"/>
        <v>1.3935475901793888</v>
      </c>
    </row>
    <row r="132" spans="1:25" x14ac:dyDescent="0.25">
      <c r="A132" s="108">
        <f>Données!A132</f>
        <v>5629</v>
      </c>
      <c r="B132" s="116" t="str">
        <f>Données!B132</f>
        <v>Clarmont</v>
      </c>
      <c r="C132" s="246">
        <f>Données!C132</f>
        <v>232</v>
      </c>
      <c r="D132" s="247">
        <f>Données!D132</f>
        <v>72</v>
      </c>
      <c r="E132" s="248">
        <f>Données!E132</f>
        <v>1</v>
      </c>
      <c r="F132" s="249">
        <f>Données!F132</f>
        <v>533099.67000000004</v>
      </c>
      <c r="G132" s="249">
        <f>Données!G132</f>
        <v>69370.649999999994</v>
      </c>
      <c r="H132" s="249">
        <f>Données!H132</f>
        <v>2551.3000000000002</v>
      </c>
      <c r="I132" s="249">
        <f>Données!I132</f>
        <v>1026.25</v>
      </c>
      <c r="J132" s="249">
        <f>Données!J132</f>
        <v>0</v>
      </c>
      <c r="K132" s="249">
        <f>Données!K132</f>
        <v>0</v>
      </c>
      <c r="L132" s="249">
        <f>Données!L132</f>
        <v>-99.65</v>
      </c>
      <c r="M132" s="249">
        <f>Données!M132</f>
        <v>0</v>
      </c>
      <c r="N132" s="249">
        <f>Données!N132</f>
        <v>340.14328727423475</v>
      </c>
      <c r="O132" s="249">
        <f>Données!O132</f>
        <v>42253</v>
      </c>
      <c r="P132" s="249">
        <f>Données!P132</f>
        <v>14220.61</v>
      </c>
      <c r="Q132" s="249">
        <f>Données!Q132</f>
        <v>2493</v>
      </c>
      <c r="R132" s="249">
        <f>Données!R132</f>
        <v>-319.7</v>
      </c>
      <c r="S132" s="241"/>
      <c r="T132" s="233">
        <f t="shared" si="6"/>
        <v>567520.86506690225</v>
      </c>
      <c r="U132" s="250">
        <f t="shared" si="7"/>
        <v>42253</v>
      </c>
      <c r="V132" s="250">
        <f t="shared" si="8"/>
        <v>16393.91</v>
      </c>
      <c r="W132" s="251">
        <f t="shared" si="9"/>
        <v>626167.77506690228</v>
      </c>
      <c r="X132" s="233">
        <f t="shared" si="10"/>
        <v>2698.9990304607859</v>
      </c>
      <c r="Y132" s="252">
        <f t="shared" si="11"/>
        <v>0.78724924897463333</v>
      </c>
    </row>
    <row r="133" spans="1:25" x14ac:dyDescent="0.25">
      <c r="A133" s="108">
        <f>Données!A133</f>
        <v>5631</v>
      </c>
      <c r="B133" s="116" t="str">
        <f>Données!B133</f>
        <v>Denens</v>
      </c>
      <c r="C133" s="246">
        <f>Données!C133</f>
        <v>748</v>
      </c>
      <c r="D133" s="247">
        <f>Données!D133</f>
        <v>65</v>
      </c>
      <c r="E133" s="248">
        <f>Données!E133</f>
        <v>1</v>
      </c>
      <c r="F133" s="249">
        <f>Données!F133</f>
        <v>2273907.21</v>
      </c>
      <c r="G133" s="249">
        <f>Données!G133</f>
        <v>386750.7</v>
      </c>
      <c r="H133" s="249">
        <f>Données!H133</f>
        <v>2646.45</v>
      </c>
      <c r="I133" s="249">
        <f>Données!I133</f>
        <v>2769.55</v>
      </c>
      <c r="J133" s="249">
        <f>Données!J133</f>
        <v>247594.93</v>
      </c>
      <c r="K133" s="249">
        <f>Données!K133</f>
        <v>0</v>
      </c>
      <c r="L133" s="249">
        <f>Données!L133</f>
        <v>-3343.1</v>
      </c>
      <c r="M133" s="249">
        <f>Données!M133</f>
        <v>0</v>
      </c>
      <c r="N133" s="249">
        <f>Données!N133</f>
        <v>514.93788874432369</v>
      </c>
      <c r="O133" s="249">
        <f>Données!O133</f>
        <v>228798.9</v>
      </c>
      <c r="P133" s="249">
        <f>Données!P133</f>
        <v>4329.99</v>
      </c>
      <c r="Q133" s="249">
        <f>Données!Q133</f>
        <v>3209.15</v>
      </c>
      <c r="R133" s="249">
        <f>Données!R133</f>
        <v>-3738.45</v>
      </c>
      <c r="S133" s="241"/>
      <c r="T133" s="233">
        <f t="shared" si="6"/>
        <v>3018145.5206052922</v>
      </c>
      <c r="U133" s="250">
        <f t="shared" si="7"/>
        <v>228798.9</v>
      </c>
      <c r="V133" s="250">
        <f t="shared" si="8"/>
        <v>3800.6899999999996</v>
      </c>
      <c r="W133" s="251">
        <f t="shared" si="9"/>
        <v>3250745.110605292</v>
      </c>
      <c r="X133" s="233">
        <f t="shared" si="10"/>
        <v>4345.9159232691072</v>
      </c>
      <c r="Y133" s="252">
        <f t="shared" si="11"/>
        <v>1.2676251484671341</v>
      </c>
    </row>
    <row r="134" spans="1:25" x14ac:dyDescent="0.25">
      <c r="A134" s="108">
        <f>Données!A134</f>
        <v>5632</v>
      </c>
      <c r="B134" s="116" t="str">
        <f>Données!B134</f>
        <v>Denges</v>
      </c>
      <c r="C134" s="246">
        <f>Données!C134</f>
        <v>1844</v>
      </c>
      <c r="D134" s="247">
        <f>Données!D134</f>
        <v>62</v>
      </c>
      <c r="E134" s="248">
        <f>Données!E134</f>
        <v>1</v>
      </c>
      <c r="F134" s="249">
        <f>Données!F134</f>
        <v>3774127.62</v>
      </c>
      <c r="G134" s="249">
        <f>Données!G134</f>
        <v>652386.30000000005</v>
      </c>
      <c r="H134" s="249">
        <f>Données!H134</f>
        <v>169278.45</v>
      </c>
      <c r="I134" s="249">
        <f>Données!I134</f>
        <v>17106.75</v>
      </c>
      <c r="J134" s="249">
        <f>Données!J134</f>
        <v>0</v>
      </c>
      <c r="K134" s="249">
        <f>Données!K134</f>
        <v>23655.200000000001</v>
      </c>
      <c r="L134" s="249">
        <f>Données!L134</f>
        <v>-30407.78</v>
      </c>
      <c r="M134" s="249">
        <f>Données!M134</f>
        <v>0</v>
      </c>
      <c r="N134" s="249">
        <f>Données!N134</f>
        <v>17720.975144237171</v>
      </c>
      <c r="O134" s="249">
        <f>Données!O134</f>
        <v>430157.75</v>
      </c>
      <c r="P134" s="249">
        <f>Données!P134</f>
        <v>203888.81</v>
      </c>
      <c r="Q134" s="249">
        <f>Données!Q134</f>
        <v>14932.6</v>
      </c>
      <c r="R134" s="249">
        <f>Données!R134</f>
        <v>-2151.4499999999998</v>
      </c>
      <c r="S134" s="241"/>
      <c r="T134" s="233">
        <f t="shared" ref="T134:T196" si="12">(SUM(F134:N134)/D134*$T$4)</f>
        <v>5026304.4323241366</v>
      </c>
      <c r="U134" s="250">
        <f t="shared" ref="U134:U196" si="13">O134/E134*$U$4</f>
        <v>430157.75</v>
      </c>
      <c r="V134" s="250">
        <f t="shared" ref="V134:V196" si="14">SUM(P134:R134)</f>
        <v>216669.96</v>
      </c>
      <c r="W134" s="251">
        <f t="shared" ref="W134:W196" si="15">SUM(T134:V134)</f>
        <v>5673132.1423241366</v>
      </c>
      <c r="X134" s="233">
        <f t="shared" ref="X134:X196" si="16">W134/C134</f>
        <v>3076.5358689393365</v>
      </c>
      <c r="Y134" s="252">
        <f t="shared" si="11"/>
        <v>0.89736992304607022</v>
      </c>
    </row>
    <row r="135" spans="1:25" x14ac:dyDescent="0.25">
      <c r="A135" s="108">
        <f>Données!A135</f>
        <v>5633</v>
      </c>
      <c r="B135" s="116" t="str">
        <f>Données!B135</f>
        <v>Echandens</v>
      </c>
      <c r="C135" s="246">
        <f>Données!C135</f>
        <v>3116</v>
      </c>
      <c r="D135" s="247">
        <f>Données!D135</f>
        <v>60.5</v>
      </c>
      <c r="E135" s="248">
        <f>Données!E135</f>
        <v>1</v>
      </c>
      <c r="F135" s="249">
        <f>Données!F135</f>
        <v>6180846.5199999996</v>
      </c>
      <c r="G135" s="249">
        <f>Données!G135</f>
        <v>1496919.08</v>
      </c>
      <c r="H135" s="249">
        <f>Données!H135</f>
        <v>403587.8</v>
      </c>
      <c r="I135" s="249">
        <f>Données!I135</f>
        <v>47811.45</v>
      </c>
      <c r="J135" s="249">
        <f>Données!J135</f>
        <v>0</v>
      </c>
      <c r="K135" s="249">
        <f>Données!K135</f>
        <v>5437.32</v>
      </c>
      <c r="L135" s="249">
        <f>Données!L135</f>
        <v>-29291.62</v>
      </c>
      <c r="M135" s="249">
        <f>Données!M135</f>
        <v>0</v>
      </c>
      <c r="N135" s="249">
        <f>Données!N135</f>
        <v>42917.757898037511</v>
      </c>
      <c r="O135" s="249">
        <f>Données!O135</f>
        <v>758064.15</v>
      </c>
      <c r="P135" s="249">
        <f>Données!P135</f>
        <v>219973.82</v>
      </c>
      <c r="Q135" s="249">
        <f>Données!Q135</f>
        <v>53352.2</v>
      </c>
      <c r="R135" s="249">
        <f>Données!R135</f>
        <v>-38281.4</v>
      </c>
      <c r="S135" s="241"/>
      <c r="T135" s="233">
        <f t="shared" si="12"/>
        <v>9077012.0355704352</v>
      </c>
      <c r="U135" s="250">
        <f t="shared" si="13"/>
        <v>758064.15</v>
      </c>
      <c r="V135" s="250">
        <f t="shared" si="14"/>
        <v>235044.62000000002</v>
      </c>
      <c r="W135" s="251">
        <f t="shared" si="15"/>
        <v>10070120.805570435</v>
      </c>
      <c r="X135" s="233">
        <f t="shared" si="16"/>
        <v>3231.7460865116927</v>
      </c>
      <c r="Y135" s="252">
        <f t="shared" si="11"/>
        <v>0.94264193901866067</v>
      </c>
    </row>
    <row r="136" spans="1:25" x14ac:dyDescent="0.25">
      <c r="A136" s="108">
        <f>Données!A136</f>
        <v>5634</v>
      </c>
      <c r="B136" s="116" t="str">
        <f>Données!B136</f>
        <v>Echichens</v>
      </c>
      <c r="C136" s="246">
        <f>Données!C136</f>
        <v>3241</v>
      </c>
      <c r="D136" s="247">
        <f>Données!D136</f>
        <v>66</v>
      </c>
      <c r="E136" s="248">
        <f>Données!E136</f>
        <v>1</v>
      </c>
      <c r="F136" s="249">
        <f>Données!F136</f>
        <v>8682448.6500000004</v>
      </c>
      <c r="G136" s="249">
        <f>Données!G136</f>
        <v>1650781.76</v>
      </c>
      <c r="H136" s="249">
        <f>Données!H136</f>
        <v>79757.399999999994</v>
      </c>
      <c r="I136" s="249">
        <f>Données!I136</f>
        <v>25090.65</v>
      </c>
      <c r="J136" s="249">
        <f>Données!J136</f>
        <v>38670</v>
      </c>
      <c r="K136" s="249">
        <f>Données!K136</f>
        <v>1081.31</v>
      </c>
      <c r="L136" s="249">
        <f>Données!L136</f>
        <v>-63093.93</v>
      </c>
      <c r="M136" s="249">
        <f>Données!M136</f>
        <v>0</v>
      </c>
      <c r="N136" s="249">
        <f>Données!N136</f>
        <v>9968.6546355168539</v>
      </c>
      <c r="O136" s="249">
        <f>Données!O136</f>
        <v>806860.65</v>
      </c>
      <c r="P136" s="249">
        <f>Données!P136</f>
        <v>103770.42</v>
      </c>
      <c r="Q136" s="249">
        <f>Données!Q136</f>
        <v>18683.400000000001</v>
      </c>
      <c r="R136" s="249">
        <f>Données!R136</f>
        <v>-15247.45</v>
      </c>
      <c r="S136" s="241"/>
      <c r="T136" s="233">
        <f t="shared" si="12"/>
        <v>10645226.693092629</v>
      </c>
      <c r="U136" s="250">
        <f t="shared" si="13"/>
        <v>806860.65</v>
      </c>
      <c r="V136" s="250">
        <f t="shared" si="14"/>
        <v>107206.37000000001</v>
      </c>
      <c r="W136" s="251">
        <f t="shared" si="15"/>
        <v>11559293.713092629</v>
      </c>
      <c r="X136" s="233">
        <f t="shared" si="16"/>
        <v>3566.582447729907</v>
      </c>
      <c r="Y136" s="252">
        <f t="shared" ref="Y136:Y199" si="17">X136/$X$302</f>
        <v>1.0403076554281383</v>
      </c>
    </row>
    <row r="137" spans="1:25" x14ac:dyDescent="0.25">
      <c r="A137" s="108">
        <f>Données!A137</f>
        <v>5635</v>
      </c>
      <c r="B137" s="116" t="str">
        <f>Données!B137</f>
        <v>Ecublens</v>
      </c>
      <c r="C137" s="246">
        <f>Données!C137</f>
        <v>13758</v>
      </c>
      <c r="D137" s="247">
        <f>Données!D137</f>
        <v>62.5</v>
      </c>
      <c r="E137" s="248">
        <f>Données!E137</f>
        <v>1.2</v>
      </c>
      <c r="F137" s="249">
        <f>Données!F137</f>
        <v>19632597.940000001</v>
      </c>
      <c r="G137" s="249">
        <f>Données!G137</f>
        <v>3574377.62</v>
      </c>
      <c r="H137" s="249">
        <f>Données!H137</f>
        <v>6805818.7000000002</v>
      </c>
      <c r="I137" s="249">
        <f>Données!I137</f>
        <v>459771.55</v>
      </c>
      <c r="J137" s="249">
        <f>Données!J137</f>
        <v>97844.85</v>
      </c>
      <c r="K137" s="249">
        <f>Données!K137</f>
        <v>210919.92</v>
      </c>
      <c r="L137" s="249">
        <f>Données!L137</f>
        <v>-652784.30000000005</v>
      </c>
      <c r="M137" s="249">
        <f>Données!M137</f>
        <v>0</v>
      </c>
      <c r="N137" s="249">
        <f>Données!N137</f>
        <v>690791.67352591269</v>
      </c>
      <c r="O137" s="249">
        <f>Données!O137</f>
        <v>3471022.95</v>
      </c>
      <c r="P137" s="249">
        <f>Données!P137</f>
        <v>1865422.47</v>
      </c>
      <c r="Q137" s="249">
        <f>Données!Q137</f>
        <v>525253.69999999995</v>
      </c>
      <c r="R137" s="249">
        <f>Données!R137</f>
        <v>-62853.279999999999</v>
      </c>
      <c r="S137" s="241"/>
      <c r="T137" s="233">
        <f t="shared" si="12"/>
        <v>33233676.236212932</v>
      </c>
      <c r="U137" s="250">
        <f t="shared" si="13"/>
        <v>2892519.1250000005</v>
      </c>
      <c r="V137" s="250">
        <f t="shared" si="14"/>
        <v>2327822.89</v>
      </c>
      <c r="W137" s="251">
        <f t="shared" si="15"/>
        <v>38454018.251212932</v>
      </c>
      <c r="X137" s="233">
        <f t="shared" si="16"/>
        <v>2795.0296737325871</v>
      </c>
      <c r="Y137" s="252">
        <f t="shared" si="17"/>
        <v>0.81525965243942056</v>
      </c>
    </row>
    <row r="138" spans="1:25" x14ac:dyDescent="0.25">
      <c r="A138" s="108">
        <f>Données!A138</f>
        <v>5636</v>
      </c>
      <c r="B138" s="116" t="str">
        <f>Données!B138</f>
        <v>Etoy</v>
      </c>
      <c r="C138" s="246">
        <f>Données!C138</f>
        <v>3013</v>
      </c>
      <c r="D138" s="247">
        <f>Données!D138</f>
        <v>60</v>
      </c>
      <c r="E138" s="248">
        <f>Données!E138</f>
        <v>1</v>
      </c>
      <c r="F138" s="249">
        <f>Données!F138</f>
        <v>6738448.9500000002</v>
      </c>
      <c r="G138" s="249">
        <f>Données!G138</f>
        <v>1227717.74</v>
      </c>
      <c r="H138" s="249">
        <f>Données!H138</f>
        <v>2594012.1500000004</v>
      </c>
      <c r="I138" s="249">
        <f>Données!I138</f>
        <v>3017242.65</v>
      </c>
      <c r="J138" s="249">
        <f>Données!J138</f>
        <v>0</v>
      </c>
      <c r="K138" s="249">
        <f>Données!K138</f>
        <v>211058.38</v>
      </c>
      <c r="L138" s="249">
        <f>Données!L138</f>
        <v>-494320.47</v>
      </c>
      <c r="M138" s="249">
        <f>Données!M138</f>
        <v>0</v>
      </c>
      <c r="N138" s="249">
        <f>Données!N138</f>
        <v>533502.16025082208</v>
      </c>
      <c r="O138" s="249">
        <f>Données!O138</f>
        <v>1223910.3999999999</v>
      </c>
      <c r="P138" s="249">
        <f>Données!P138</f>
        <v>353136.49</v>
      </c>
      <c r="Q138" s="249">
        <f>Données!Q138</f>
        <v>219595.25</v>
      </c>
      <c r="R138" s="249">
        <f>Données!R138</f>
        <v>-4337.51</v>
      </c>
      <c r="S138" s="241"/>
      <c r="T138" s="233">
        <f t="shared" si="12"/>
        <v>15532186.185419293</v>
      </c>
      <c r="U138" s="250">
        <f t="shared" si="13"/>
        <v>1223910.3999999999</v>
      </c>
      <c r="V138" s="250">
        <f t="shared" si="14"/>
        <v>568394.23</v>
      </c>
      <c r="W138" s="251">
        <f t="shared" si="15"/>
        <v>17324490.815419294</v>
      </c>
      <c r="X138" s="233">
        <f t="shared" si="16"/>
        <v>5749.9139779021889</v>
      </c>
      <c r="Y138" s="252">
        <f t="shared" si="17"/>
        <v>1.677146012164161</v>
      </c>
    </row>
    <row r="139" spans="1:25" x14ac:dyDescent="0.25">
      <c r="A139" s="108">
        <f>Données!A139</f>
        <v>5637</v>
      </c>
      <c r="B139" s="116" t="str">
        <f>Données!B139</f>
        <v>Lavigny</v>
      </c>
      <c r="C139" s="246">
        <f>Données!C139</f>
        <v>1108</v>
      </c>
      <c r="D139" s="247">
        <f>Données!D139</f>
        <v>73</v>
      </c>
      <c r="E139" s="248">
        <f>Données!E139</f>
        <v>1.5</v>
      </c>
      <c r="F139" s="249">
        <f>Données!F139</f>
        <v>2422996.98</v>
      </c>
      <c r="G139" s="249">
        <f>Données!G139</f>
        <v>279819.71999999997</v>
      </c>
      <c r="H139" s="249">
        <f>Données!H139</f>
        <v>74892.25</v>
      </c>
      <c r="I139" s="249">
        <f>Données!I139</f>
        <v>2542.75</v>
      </c>
      <c r="J139" s="249">
        <f>Données!J139</f>
        <v>0</v>
      </c>
      <c r="K139" s="249">
        <f>Données!K139</f>
        <v>5037.59</v>
      </c>
      <c r="L139" s="249">
        <f>Données!L139</f>
        <v>-110296.99</v>
      </c>
      <c r="M139" s="249">
        <f>Données!M139</f>
        <v>0</v>
      </c>
      <c r="N139" s="249">
        <f>Données!N139</f>
        <v>7362.2997442608394</v>
      </c>
      <c r="O139" s="249">
        <f>Données!O139</f>
        <v>316779.75</v>
      </c>
      <c r="P139" s="249">
        <f>Données!P139</f>
        <v>81127.78</v>
      </c>
      <c r="Q139" s="249">
        <f>Données!Q139</f>
        <v>9618.4500000000007</v>
      </c>
      <c r="R139" s="249">
        <f>Données!R139</f>
        <v>-1015.81</v>
      </c>
      <c r="S139" s="241"/>
      <c r="T139" s="233">
        <f t="shared" si="12"/>
        <v>2476443.5142295305</v>
      </c>
      <c r="U139" s="250">
        <f t="shared" si="13"/>
        <v>211186.5</v>
      </c>
      <c r="V139" s="250">
        <f t="shared" si="14"/>
        <v>89730.42</v>
      </c>
      <c r="W139" s="251">
        <f t="shared" si="15"/>
        <v>2777360.4342295304</v>
      </c>
      <c r="X139" s="233">
        <f t="shared" si="16"/>
        <v>2506.6429911818868</v>
      </c>
      <c r="Y139" s="252">
        <f t="shared" si="17"/>
        <v>0.73114246799805949</v>
      </c>
    </row>
    <row r="140" spans="1:25" x14ac:dyDescent="0.25">
      <c r="A140" s="108">
        <f>Données!A140</f>
        <v>5638</v>
      </c>
      <c r="B140" s="116" t="str">
        <f>Données!B140</f>
        <v>Lonay</v>
      </c>
      <c r="C140" s="246">
        <f>Données!C140</f>
        <v>2719</v>
      </c>
      <c r="D140" s="247">
        <f>Données!D140</f>
        <v>55</v>
      </c>
      <c r="E140" s="248">
        <f>Données!E140</f>
        <v>1</v>
      </c>
      <c r="F140" s="249">
        <f>Données!F140</f>
        <v>6099021.0099999998</v>
      </c>
      <c r="G140" s="249">
        <f>Données!G140</f>
        <v>1454276.99</v>
      </c>
      <c r="H140" s="249">
        <f>Données!H140</f>
        <v>353684.45</v>
      </c>
      <c r="I140" s="249">
        <f>Données!I140</f>
        <v>93407</v>
      </c>
      <c r="J140" s="249">
        <f>Données!J140</f>
        <v>105106.25</v>
      </c>
      <c r="K140" s="249">
        <f>Données!K140</f>
        <v>84866.89</v>
      </c>
      <c r="L140" s="249">
        <f>Données!L140</f>
        <v>-93479.07</v>
      </c>
      <c r="M140" s="249">
        <f>Données!M140</f>
        <v>0</v>
      </c>
      <c r="N140" s="249">
        <f>Données!N140</f>
        <v>42508.184515996742</v>
      </c>
      <c r="O140" s="249">
        <f>Données!O140</f>
        <v>747999.2</v>
      </c>
      <c r="P140" s="249">
        <f>Données!P140</f>
        <v>151871.84</v>
      </c>
      <c r="Q140" s="249">
        <f>Données!Q140</f>
        <v>68351.100000000006</v>
      </c>
      <c r="R140" s="249">
        <f>Données!R140</f>
        <v>-2820.4</v>
      </c>
      <c r="S140" s="241"/>
      <c r="T140" s="233">
        <f t="shared" si="12"/>
        <v>9973885.0016943123</v>
      </c>
      <c r="U140" s="250">
        <f t="shared" si="13"/>
        <v>747999.2</v>
      </c>
      <c r="V140" s="250">
        <f t="shared" si="14"/>
        <v>217402.54</v>
      </c>
      <c r="W140" s="251">
        <f t="shared" si="15"/>
        <v>10939286.741694311</v>
      </c>
      <c r="X140" s="233">
        <f t="shared" si="16"/>
        <v>4023.2757417044172</v>
      </c>
      <c r="Y140" s="252">
        <f t="shared" si="17"/>
        <v>1.1735168372898315</v>
      </c>
    </row>
    <row r="141" spans="1:25" x14ac:dyDescent="0.25">
      <c r="A141" s="108">
        <f>Données!A141</f>
        <v>5639</v>
      </c>
      <c r="B141" s="116" t="str">
        <f>Données!B141</f>
        <v>Lully</v>
      </c>
      <c r="C141" s="246">
        <f>Données!C141</f>
        <v>824</v>
      </c>
      <c r="D141" s="247">
        <f>Données!D141</f>
        <v>58</v>
      </c>
      <c r="E141" s="248">
        <f>Données!E141</f>
        <v>1.25</v>
      </c>
      <c r="F141" s="249">
        <f>Données!F141</f>
        <v>2355334.2799999998</v>
      </c>
      <c r="G141" s="249">
        <f>Données!G141</f>
        <v>683602.85</v>
      </c>
      <c r="H141" s="249">
        <f>Données!H141</f>
        <v>82788.100000000006</v>
      </c>
      <c r="I141" s="249">
        <f>Données!I141</f>
        <v>3379.85</v>
      </c>
      <c r="J141" s="249">
        <f>Données!J141</f>
        <v>0</v>
      </c>
      <c r="K141" s="249">
        <f>Données!K141</f>
        <v>0</v>
      </c>
      <c r="L141" s="249">
        <f>Données!L141</f>
        <v>-6908.01</v>
      </c>
      <c r="M141" s="249">
        <f>Données!M141</f>
        <v>0</v>
      </c>
      <c r="N141" s="249">
        <f>Données!N141</f>
        <v>8192.6038128556957</v>
      </c>
      <c r="O141" s="249">
        <f>Données!O141</f>
        <v>279676.90000000002</v>
      </c>
      <c r="P141" s="249">
        <f>Données!P141</f>
        <v>95276.89</v>
      </c>
      <c r="Q141" s="249">
        <f>Données!Q141</f>
        <v>3763.85</v>
      </c>
      <c r="R141" s="249">
        <f>Données!R141</f>
        <v>-6112.7</v>
      </c>
      <c r="S141" s="241"/>
      <c r="T141" s="233">
        <f t="shared" si="12"/>
        <v>3632872.9584271284</v>
      </c>
      <c r="U141" s="250">
        <f t="shared" si="13"/>
        <v>223741.52000000002</v>
      </c>
      <c r="V141" s="250">
        <f t="shared" si="14"/>
        <v>92928.040000000008</v>
      </c>
      <c r="W141" s="251">
        <f t="shared" si="15"/>
        <v>3949542.5184271284</v>
      </c>
      <c r="X141" s="233">
        <f t="shared" si="16"/>
        <v>4793.1341243047673</v>
      </c>
      <c r="Y141" s="252">
        <f t="shared" si="17"/>
        <v>1.3980706169240096</v>
      </c>
    </row>
    <row r="142" spans="1:25" x14ac:dyDescent="0.25">
      <c r="A142" s="108">
        <f>Données!A142</f>
        <v>5640</v>
      </c>
      <c r="B142" s="116" t="str">
        <f>Données!B142</f>
        <v>Lussy-sur-Morges</v>
      </c>
      <c r="C142" s="246">
        <f>Données!C142</f>
        <v>721</v>
      </c>
      <c r="D142" s="247">
        <f>Données!D142</f>
        <v>61.5</v>
      </c>
      <c r="E142" s="248">
        <f>Données!E142</f>
        <v>1</v>
      </c>
      <c r="F142" s="249">
        <f>Données!F142</f>
        <v>2989685.12</v>
      </c>
      <c r="G142" s="249">
        <f>Données!G142</f>
        <v>636582.63</v>
      </c>
      <c r="H142" s="249">
        <f>Données!H142</f>
        <v>69828.800000000003</v>
      </c>
      <c r="I142" s="249">
        <f>Données!I142</f>
        <v>4955</v>
      </c>
      <c r="J142" s="249">
        <f>Données!J142</f>
        <v>88555.15</v>
      </c>
      <c r="K142" s="249">
        <f>Données!K142</f>
        <v>0</v>
      </c>
      <c r="L142" s="249">
        <f>Données!L142</f>
        <v>-7784.13</v>
      </c>
      <c r="M142" s="249">
        <f>Données!M142</f>
        <v>0</v>
      </c>
      <c r="N142" s="249">
        <f>Données!N142</f>
        <v>7110.2311824737362</v>
      </c>
      <c r="O142" s="249">
        <f>Données!O142</f>
        <v>226384.35</v>
      </c>
      <c r="P142" s="249">
        <f>Données!P142</f>
        <v>18849.43</v>
      </c>
      <c r="Q142" s="249">
        <f>Données!Q142</f>
        <v>10925.25</v>
      </c>
      <c r="R142" s="249">
        <f>Données!R142</f>
        <v>-15299.95</v>
      </c>
      <c r="S142" s="241"/>
      <c r="T142" s="233">
        <f t="shared" si="12"/>
        <v>4152186.8043415304</v>
      </c>
      <c r="U142" s="250">
        <f t="shared" si="13"/>
        <v>226384.35</v>
      </c>
      <c r="V142" s="250">
        <f t="shared" si="14"/>
        <v>14474.73</v>
      </c>
      <c r="W142" s="251">
        <f t="shared" si="15"/>
        <v>4393045.8843415305</v>
      </c>
      <c r="X142" s="233">
        <f t="shared" si="16"/>
        <v>6092.9901308481703</v>
      </c>
      <c r="Y142" s="252">
        <f t="shared" si="17"/>
        <v>1.7772151269358401</v>
      </c>
    </row>
    <row r="143" spans="1:25" x14ac:dyDescent="0.25">
      <c r="A143" s="108">
        <f>Données!A143</f>
        <v>5642</v>
      </c>
      <c r="B143" s="116" t="str">
        <f>Données!B143</f>
        <v>Morges</v>
      </c>
      <c r="C143" s="246">
        <f>Données!C143</f>
        <v>17813</v>
      </c>
      <c r="D143" s="247">
        <f>Données!D143</f>
        <v>67</v>
      </c>
      <c r="E143" s="248">
        <f>Données!E143</f>
        <v>1</v>
      </c>
      <c r="F143" s="249">
        <f>Données!F143</f>
        <v>39660506.460000001</v>
      </c>
      <c r="G143" s="249">
        <f>Données!G143</f>
        <v>6667022.6699999999</v>
      </c>
      <c r="H143" s="249">
        <f>Données!H143</f>
        <v>6798421.5499999998</v>
      </c>
      <c r="I143" s="249">
        <f>Données!I143</f>
        <v>636404.80000000005</v>
      </c>
      <c r="J143" s="249">
        <f>Données!J143</f>
        <v>343019.23</v>
      </c>
      <c r="K143" s="249">
        <f>Données!K143</f>
        <v>212045.04</v>
      </c>
      <c r="L143" s="249">
        <f>Données!L143</f>
        <v>-495508.68</v>
      </c>
      <c r="M143" s="249">
        <f>Données!M143</f>
        <v>0</v>
      </c>
      <c r="N143" s="249">
        <f>Données!N143</f>
        <v>706882.16097667394</v>
      </c>
      <c r="O143" s="249">
        <f>Données!O143</f>
        <v>3972675.15</v>
      </c>
      <c r="P143" s="249">
        <f>Données!P143</f>
        <v>2287087.19</v>
      </c>
      <c r="Q143" s="249">
        <f>Données!Q143</f>
        <v>584768.35</v>
      </c>
      <c r="R143" s="249">
        <f>Données!R143</f>
        <v>-78784.44</v>
      </c>
      <c r="S143" s="241"/>
      <c r="T143" s="233">
        <f t="shared" si="12"/>
        <v>54851205.980822019</v>
      </c>
      <c r="U143" s="250">
        <f t="shared" si="13"/>
        <v>3972675.15</v>
      </c>
      <c r="V143" s="250">
        <f t="shared" si="14"/>
        <v>2793071.1</v>
      </c>
      <c r="W143" s="251">
        <f t="shared" si="15"/>
        <v>61616952.230822019</v>
      </c>
      <c r="X143" s="233">
        <f t="shared" si="16"/>
        <v>3459.100220671533</v>
      </c>
      <c r="Y143" s="252">
        <f t="shared" si="17"/>
        <v>1.0089570318914636</v>
      </c>
    </row>
    <row r="144" spans="1:25" x14ac:dyDescent="0.25">
      <c r="A144" s="108">
        <f>Données!A144</f>
        <v>5643</v>
      </c>
      <c r="B144" s="116" t="str">
        <f>Données!B144</f>
        <v>Préverenges</v>
      </c>
      <c r="C144" s="246">
        <f>Données!C144</f>
        <v>5236</v>
      </c>
      <c r="D144" s="247">
        <f>Données!D144</f>
        <v>65</v>
      </c>
      <c r="E144" s="248">
        <f>Données!E144</f>
        <v>1</v>
      </c>
      <c r="F144" s="249">
        <f>Données!F144</f>
        <v>11924883.689999999</v>
      </c>
      <c r="G144" s="249">
        <f>Données!G144</f>
        <v>2403616.87</v>
      </c>
      <c r="H144" s="249">
        <f>Données!H144</f>
        <v>2754095</v>
      </c>
      <c r="I144" s="249">
        <f>Données!I144</f>
        <v>67790.3</v>
      </c>
      <c r="J144" s="249">
        <f>Données!J144</f>
        <v>479796.55</v>
      </c>
      <c r="K144" s="249">
        <f>Données!K144</f>
        <v>42104.12</v>
      </c>
      <c r="L144" s="249">
        <f>Données!L144</f>
        <v>-279982.82</v>
      </c>
      <c r="M144" s="249">
        <f>Données!M144</f>
        <v>0</v>
      </c>
      <c r="N144" s="249">
        <f>Données!N144</f>
        <v>268296.83505551005</v>
      </c>
      <c r="O144" s="249">
        <f>Données!O144</f>
        <v>1220502.6499999999</v>
      </c>
      <c r="P144" s="249">
        <f>Données!P144</f>
        <v>290596.19</v>
      </c>
      <c r="Q144" s="249">
        <f>Données!Q144</f>
        <v>22463.65</v>
      </c>
      <c r="R144" s="249">
        <f>Données!R144</f>
        <v>-46195.6</v>
      </c>
      <c r="S144" s="241"/>
      <c r="T144" s="233">
        <f t="shared" si="12"/>
        <v>18311638.569280688</v>
      </c>
      <c r="U144" s="250">
        <f t="shared" si="13"/>
        <v>1220502.6499999999</v>
      </c>
      <c r="V144" s="250">
        <f t="shared" si="14"/>
        <v>266864.24000000005</v>
      </c>
      <c r="W144" s="251">
        <f t="shared" si="15"/>
        <v>19799005.459280685</v>
      </c>
      <c r="X144" s="233">
        <f t="shared" si="16"/>
        <v>3781.3226622002835</v>
      </c>
      <c r="Y144" s="252">
        <f t="shared" si="17"/>
        <v>1.102943495848427</v>
      </c>
    </row>
    <row r="145" spans="1:25" x14ac:dyDescent="0.25">
      <c r="A145" s="108">
        <f>Données!A145</f>
        <v>5645</v>
      </c>
      <c r="B145" s="116" t="str">
        <f>Données!B145</f>
        <v>Romanel-sur-Morges</v>
      </c>
      <c r="C145" s="246">
        <f>Données!C145</f>
        <v>462</v>
      </c>
      <c r="D145" s="247">
        <f>Données!D145</f>
        <v>56</v>
      </c>
      <c r="E145" s="248">
        <f>Données!E145</f>
        <v>1</v>
      </c>
      <c r="F145" s="249">
        <f>Données!F145</f>
        <v>991929.88</v>
      </c>
      <c r="G145" s="249">
        <f>Données!G145</f>
        <v>223610.23999999999</v>
      </c>
      <c r="H145" s="249">
        <f>Données!H145</f>
        <v>38827.800000000003</v>
      </c>
      <c r="I145" s="249">
        <f>Données!I145</f>
        <v>27317.1</v>
      </c>
      <c r="J145" s="249">
        <f>Données!J145</f>
        <v>0</v>
      </c>
      <c r="K145" s="249">
        <f>Données!K145</f>
        <v>0</v>
      </c>
      <c r="L145" s="249">
        <f>Données!L145</f>
        <v>-12300.43</v>
      </c>
      <c r="M145" s="249">
        <f>Données!M145</f>
        <v>0</v>
      </c>
      <c r="N145" s="249">
        <f>Données!N145</f>
        <v>6288.8691206064277</v>
      </c>
      <c r="O145" s="249">
        <f>Données!O145</f>
        <v>166147.20000000001</v>
      </c>
      <c r="P145" s="249">
        <f>Données!P145</f>
        <v>29915.27</v>
      </c>
      <c r="Q145" s="249">
        <f>Données!Q145</f>
        <v>20865</v>
      </c>
      <c r="R145" s="249">
        <f>Données!R145</f>
        <v>-7244.49</v>
      </c>
      <c r="S145" s="241"/>
      <c r="T145" s="233">
        <f t="shared" si="12"/>
        <v>1535276.4554474668</v>
      </c>
      <c r="U145" s="250">
        <f t="shared" si="13"/>
        <v>166147.20000000001</v>
      </c>
      <c r="V145" s="250">
        <f t="shared" si="14"/>
        <v>43535.780000000006</v>
      </c>
      <c r="W145" s="251">
        <f t="shared" si="15"/>
        <v>1744959.4354474668</v>
      </c>
      <c r="X145" s="233">
        <f t="shared" si="16"/>
        <v>3776.9684749945168</v>
      </c>
      <c r="Y145" s="252">
        <f t="shared" si="17"/>
        <v>1.101673458116309</v>
      </c>
    </row>
    <row r="146" spans="1:25" x14ac:dyDescent="0.25">
      <c r="A146" s="108">
        <f>Données!A146</f>
        <v>5646</v>
      </c>
      <c r="B146" s="116" t="str">
        <f>Données!B146</f>
        <v>Saint-Prex</v>
      </c>
      <c r="C146" s="246">
        <f>Données!C146</f>
        <v>5922</v>
      </c>
      <c r="D146" s="247">
        <f>Données!D146</f>
        <v>59</v>
      </c>
      <c r="E146" s="248">
        <f>Données!E146</f>
        <v>1.2</v>
      </c>
      <c r="F146" s="249">
        <f>Données!F146</f>
        <v>14396208.09</v>
      </c>
      <c r="G146" s="249">
        <f>Données!G146</f>
        <v>4009701.34</v>
      </c>
      <c r="H146" s="249">
        <f>Données!H146</f>
        <v>5904248.5999999996</v>
      </c>
      <c r="I146" s="249">
        <f>Données!I146</f>
        <v>6338923.6500000004</v>
      </c>
      <c r="J146" s="249">
        <f>Données!J146</f>
        <v>848683.65</v>
      </c>
      <c r="K146" s="249">
        <f>Données!K146</f>
        <v>9107.4599999999991</v>
      </c>
      <c r="L146" s="249">
        <f>Données!L146</f>
        <v>-254979.02</v>
      </c>
      <c r="M146" s="249">
        <f>Données!M146</f>
        <v>0</v>
      </c>
      <c r="N146" s="249">
        <f>Données!N146</f>
        <v>1164046.0247319222</v>
      </c>
      <c r="O146" s="249">
        <f>Données!O146</f>
        <v>2207267.5</v>
      </c>
      <c r="P146" s="249">
        <f>Données!P146</f>
        <v>624688.1</v>
      </c>
      <c r="Q146" s="249">
        <f>Données!Q146</f>
        <v>86503.15</v>
      </c>
      <c r="R146" s="249">
        <f>Données!R146</f>
        <v>-66809.350000000006</v>
      </c>
      <c r="S146" s="241"/>
      <c r="T146" s="233">
        <f t="shared" si="12"/>
        <v>37028976.001273245</v>
      </c>
      <c r="U146" s="250">
        <f t="shared" si="13"/>
        <v>1839389.5833333335</v>
      </c>
      <c r="V146" s="250">
        <f t="shared" si="14"/>
        <v>644381.9</v>
      </c>
      <c r="W146" s="251">
        <f t="shared" si="15"/>
        <v>39512747.484606579</v>
      </c>
      <c r="X146" s="233">
        <f t="shared" si="16"/>
        <v>6672.1964681875343</v>
      </c>
      <c r="Y146" s="252">
        <f t="shared" si="17"/>
        <v>1.9461591498590032</v>
      </c>
    </row>
    <row r="147" spans="1:25" x14ac:dyDescent="0.25">
      <c r="A147" s="108">
        <f>Données!A147</f>
        <v>5648</v>
      </c>
      <c r="B147" s="116" t="str">
        <f>Données!B147</f>
        <v>Saint-Sulpice</v>
      </c>
      <c r="C147" s="246">
        <f>Données!C147</f>
        <v>5193</v>
      </c>
      <c r="D147" s="247">
        <f>Données!D147</f>
        <v>55</v>
      </c>
      <c r="E147" s="248">
        <f>Données!E147</f>
        <v>0.8</v>
      </c>
      <c r="F147" s="249">
        <f>Données!F147</f>
        <v>14033496.550000001</v>
      </c>
      <c r="G147" s="249">
        <f>Données!G147</f>
        <v>4764215.5199999996</v>
      </c>
      <c r="H147" s="249">
        <f>Données!H147</f>
        <v>883480.35</v>
      </c>
      <c r="I147" s="249">
        <f>Données!I147</f>
        <v>71259.199999999997</v>
      </c>
      <c r="J147" s="249">
        <f>Données!J147</f>
        <v>517631.15</v>
      </c>
      <c r="K147" s="249">
        <f>Données!K147</f>
        <v>9369.17</v>
      </c>
      <c r="L147" s="249">
        <f>Données!L147</f>
        <v>-76117.08</v>
      </c>
      <c r="M147" s="249">
        <f>Données!M147</f>
        <v>0</v>
      </c>
      <c r="N147" s="249">
        <f>Données!N147</f>
        <v>90773.923223357764</v>
      </c>
      <c r="O147" s="249">
        <f>Données!O147</f>
        <v>1512376.81</v>
      </c>
      <c r="P147" s="249">
        <f>Données!P147</f>
        <v>321171.03999999998</v>
      </c>
      <c r="Q147" s="249">
        <f>Données!Q147</f>
        <v>233242.55</v>
      </c>
      <c r="R147" s="249">
        <f>Données!R147</f>
        <v>-55396.47</v>
      </c>
      <c r="S147" s="241"/>
      <c r="T147" s="233">
        <f t="shared" si="12"/>
        <v>24868087.759364136</v>
      </c>
      <c r="U147" s="250">
        <f t="shared" si="13"/>
        <v>1890471.0125</v>
      </c>
      <c r="V147" s="250">
        <f t="shared" si="14"/>
        <v>499017.12</v>
      </c>
      <c r="W147" s="251">
        <f t="shared" si="15"/>
        <v>27257575.891864136</v>
      </c>
      <c r="X147" s="233">
        <f t="shared" si="16"/>
        <v>5248.9073544895309</v>
      </c>
      <c r="Y147" s="252">
        <f t="shared" si="17"/>
        <v>1.5310114328028654</v>
      </c>
    </row>
    <row r="148" spans="1:25" x14ac:dyDescent="0.25">
      <c r="A148" s="108">
        <f>Données!A148</f>
        <v>5649</v>
      </c>
      <c r="B148" s="116" t="str">
        <f>Données!B148</f>
        <v>Tolochenaz</v>
      </c>
      <c r="C148" s="246">
        <f>Données!C148</f>
        <v>1928</v>
      </c>
      <c r="D148" s="247">
        <f>Données!D148</f>
        <v>64</v>
      </c>
      <c r="E148" s="248">
        <f>Données!E148</f>
        <v>1</v>
      </c>
      <c r="F148" s="249">
        <f>Données!F148</f>
        <v>4541564.51</v>
      </c>
      <c r="G148" s="249">
        <f>Données!G148</f>
        <v>697496.27</v>
      </c>
      <c r="H148" s="249">
        <f>Données!H148</f>
        <v>19930524.100000001</v>
      </c>
      <c r="I148" s="249">
        <f>Données!I148</f>
        <v>-716470.3</v>
      </c>
      <c r="J148" s="249">
        <f>Données!J148</f>
        <v>28981.35</v>
      </c>
      <c r="K148" s="249">
        <f>Données!K148</f>
        <v>46680.87</v>
      </c>
      <c r="L148" s="249">
        <f>Données!L148</f>
        <v>-47339.199999999997</v>
      </c>
      <c r="M148" s="249">
        <f>Données!M148</f>
        <v>0</v>
      </c>
      <c r="N148" s="249">
        <f>Données!N148</f>
        <v>1826817.6325686576</v>
      </c>
      <c r="O148" s="249">
        <f>Données!O148</f>
        <v>636299.15</v>
      </c>
      <c r="P148" s="249">
        <f>Données!P148</f>
        <v>294980.7</v>
      </c>
      <c r="Q148" s="249">
        <f>Données!Q148</f>
        <v>98091.55</v>
      </c>
      <c r="R148" s="249">
        <f>Données!R148</f>
        <v>-12104.9</v>
      </c>
      <c r="S148" s="241"/>
      <c r="T148" s="233">
        <f t="shared" si="12"/>
        <v>27704299.234633364</v>
      </c>
      <c r="U148" s="250">
        <f t="shared" si="13"/>
        <v>636299.15</v>
      </c>
      <c r="V148" s="250">
        <f t="shared" si="14"/>
        <v>380967.35</v>
      </c>
      <c r="W148" s="251">
        <f t="shared" si="15"/>
        <v>28721565.734633364</v>
      </c>
      <c r="X148" s="233">
        <f t="shared" si="16"/>
        <v>14897.07766319158</v>
      </c>
      <c r="Y148" s="252">
        <f t="shared" si="17"/>
        <v>4.3452083790716092</v>
      </c>
    </row>
    <row r="149" spans="1:25" x14ac:dyDescent="0.25">
      <c r="A149" s="108">
        <f>Données!A149</f>
        <v>5650</v>
      </c>
      <c r="B149" s="116" t="str">
        <f>Données!B149</f>
        <v>Vaux-sur-Morges</v>
      </c>
      <c r="C149" s="246">
        <f>Données!C149</f>
        <v>185</v>
      </c>
      <c r="D149" s="247">
        <f>Données!D149</f>
        <v>56</v>
      </c>
      <c r="E149" s="248">
        <f>Données!E149</f>
        <v>1.25</v>
      </c>
      <c r="F149" s="249">
        <f>Données!F149</f>
        <v>2682485.42</v>
      </c>
      <c r="G149" s="249">
        <f>Données!G149</f>
        <v>3633636.9</v>
      </c>
      <c r="H149" s="249">
        <f>Données!H149</f>
        <v>7822.6</v>
      </c>
      <c r="I149" s="249">
        <f>Données!I149</f>
        <v>654.54999999999995</v>
      </c>
      <c r="J149" s="249">
        <f>Données!J149</f>
        <v>0</v>
      </c>
      <c r="K149" s="249">
        <f>Données!K149</f>
        <v>0</v>
      </c>
      <c r="L149" s="249">
        <f>Données!L149</f>
        <v>-1939.34</v>
      </c>
      <c r="M149" s="249">
        <f>Données!M149</f>
        <v>0</v>
      </c>
      <c r="N149" s="249">
        <f>Données!N149</f>
        <v>805.98333153045485</v>
      </c>
      <c r="O149" s="249">
        <f>Données!O149</f>
        <v>58463</v>
      </c>
      <c r="P149" s="249">
        <f>Données!P149</f>
        <v>381.91</v>
      </c>
      <c r="Q149" s="249">
        <f>Données!Q149</f>
        <v>0</v>
      </c>
      <c r="R149" s="249">
        <f>Données!R149</f>
        <v>-4738.5</v>
      </c>
      <c r="S149" s="241"/>
      <c r="T149" s="233">
        <f t="shared" si="12"/>
        <v>7610308.5560079413</v>
      </c>
      <c r="U149" s="250">
        <f t="shared" si="13"/>
        <v>46770.400000000001</v>
      </c>
      <c r="V149" s="250">
        <f t="shared" si="14"/>
        <v>-4356.59</v>
      </c>
      <c r="W149" s="251">
        <f t="shared" si="15"/>
        <v>7652722.3660079418</v>
      </c>
      <c r="X149" s="233">
        <f t="shared" si="16"/>
        <v>41366.066843286171</v>
      </c>
      <c r="Y149" s="252">
        <f t="shared" si="17"/>
        <v>12.06573425476622</v>
      </c>
    </row>
    <row r="150" spans="1:25" x14ac:dyDescent="0.25">
      <c r="A150" s="108">
        <f>Données!A150</f>
        <v>5651</v>
      </c>
      <c r="B150" s="116" t="str">
        <f>Données!B150</f>
        <v>Villars-Sainte-Croix</v>
      </c>
      <c r="C150" s="246">
        <f>Données!C150</f>
        <v>943</v>
      </c>
      <c r="D150" s="247">
        <f>Données!D150</f>
        <v>60.5</v>
      </c>
      <c r="E150" s="248">
        <f>Données!E150</f>
        <v>1</v>
      </c>
      <c r="F150" s="249">
        <f>Données!F150</f>
        <v>1985291.23</v>
      </c>
      <c r="G150" s="249">
        <f>Données!G150</f>
        <v>344238.32</v>
      </c>
      <c r="H150" s="249">
        <f>Données!H150</f>
        <v>590650.85</v>
      </c>
      <c r="I150" s="249">
        <f>Données!I150</f>
        <v>8333.4500000000007</v>
      </c>
      <c r="J150" s="249">
        <f>Données!J150</f>
        <v>0</v>
      </c>
      <c r="K150" s="249">
        <f>Données!K150</f>
        <v>2329.69</v>
      </c>
      <c r="L150" s="249">
        <f>Données!L150</f>
        <v>-170100.47</v>
      </c>
      <c r="M150" s="249">
        <f>Données!M150</f>
        <v>0</v>
      </c>
      <c r="N150" s="249">
        <f>Données!N150</f>
        <v>56949.725043020044</v>
      </c>
      <c r="O150" s="249">
        <f>Données!O150</f>
        <v>394373.3</v>
      </c>
      <c r="P150" s="249">
        <f>Données!P150</f>
        <v>36756.1</v>
      </c>
      <c r="Q150" s="249">
        <f>Données!Q150</f>
        <v>33474.400000000001</v>
      </c>
      <c r="R150" s="249">
        <f>Données!R150</f>
        <v>-6904.3</v>
      </c>
      <c r="S150" s="241"/>
      <c r="T150" s="233">
        <f t="shared" si="12"/>
        <v>3138870.2484385073</v>
      </c>
      <c r="U150" s="250">
        <f t="shared" si="13"/>
        <v>394373.3</v>
      </c>
      <c r="V150" s="250">
        <f t="shared" si="14"/>
        <v>63326.2</v>
      </c>
      <c r="W150" s="251">
        <f t="shared" si="15"/>
        <v>3596569.7484385073</v>
      </c>
      <c r="X150" s="233">
        <f t="shared" si="16"/>
        <v>3813.9657989803895</v>
      </c>
      <c r="Y150" s="252">
        <f t="shared" si="17"/>
        <v>1.112464909018378</v>
      </c>
    </row>
    <row r="151" spans="1:25" x14ac:dyDescent="0.25">
      <c r="A151" s="108">
        <f>Données!A151</f>
        <v>5652</v>
      </c>
      <c r="B151" s="116" t="str">
        <f>Données!B151</f>
        <v>Villars-sous-Yens</v>
      </c>
      <c r="C151" s="246">
        <f>Données!C151</f>
        <v>603</v>
      </c>
      <c r="D151" s="247">
        <f>Données!D151</f>
        <v>74</v>
      </c>
      <c r="E151" s="248">
        <f>Données!E151</f>
        <v>1.2</v>
      </c>
      <c r="F151" s="249">
        <f>Données!F151</f>
        <v>1390841.16</v>
      </c>
      <c r="G151" s="249">
        <f>Données!G151</f>
        <v>230883.55</v>
      </c>
      <c r="H151" s="249">
        <f>Données!H151</f>
        <v>17697.349999999999</v>
      </c>
      <c r="I151" s="249">
        <f>Données!I151</f>
        <v>3664.9</v>
      </c>
      <c r="J151" s="249">
        <f>Données!J151</f>
        <v>0</v>
      </c>
      <c r="K151" s="249">
        <f>Données!K151</f>
        <v>177.77</v>
      </c>
      <c r="L151" s="249">
        <f>Données!L151</f>
        <v>-16971.79</v>
      </c>
      <c r="M151" s="249">
        <f>Données!M151</f>
        <v>0</v>
      </c>
      <c r="N151" s="249">
        <f>Données!N151</f>
        <v>2031.0620224941706</v>
      </c>
      <c r="O151" s="249">
        <f>Données!O151</f>
        <v>148540.29999999999</v>
      </c>
      <c r="P151" s="249">
        <f>Données!P151</f>
        <v>19185.349999999999</v>
      </c>
      <c r="Q151" s="249">
        <f>Données!Q151</f>
        <v>1608.15</v>
      </c>
      <c r="R151" s="249">
        <f>Données!R151</f>
        <v>-7539.75</v>
      </c>
      <c r="S151" s="241"/>
      <c r="T151" s="233">
        <f t="shared" si="12"/>
        <v>1483010.4170659133</v>
      </c>
      <c r="U151" s="250">
        <f t="shared" si="13"/>
        <v>123783.58333333333</v>
      </c>
      <c r="V151" s="250">
        <f t="shared" si="14"/>
        <v>13253.75</v>
      </c>
      <c r="W151" s="251">
        <f t="shared" si="15"/>
        <v>1620047.7503992466</v>
      </c>
      <c r="X151" s="233">
        <f t="shared" si="16"/>
        <v>2686.6463522375566</v>
      </c>
      <c r="Y151" s="252">
        <f t="shared" si="17"/>
        <v>0.78364619593744778</v>
      </c>
    </row>
    <row r="152" spans="1:25" x14ac:dyDescent="0.25">
      <c r="A152" s="108">
        <f>Données!A152</f>
        <v>5653</v>
      </c>
      <c r="B152" s="116" t="str">
        <f>Données!B152</f>
        <v>Vufflens-le-Château</v>
      </c>
      <c r="C152" s="246">
        <f>Données!C152</f>
        <v>887</v>
      </c>
      <c r="D152" s="247">
        <f>Données!D152</f>
        <v>60.5</v>
      </c>
      <c r="E152" s="248">
        <f>Données!E152</f>
        <v>0.8</v>
      </c>
      <c r="F152" s="249">
        <f>Données!F152</f>
        <v>3282382.98</v>
      </c>
      <c r="G152" s="249">
        <f>Données!G152</f>
        <v>823486.46</v>
      </c>
      <c r="H152" s="249">
        <f>Données!H152</f>
        <v>30347.25</v>
      </c>
      <c r="I152" s="249">
        <f>Données!I152</f>
        <v>2091.8000000000002</v>
      </c>
      <c r="J152" s="249">
        <f>Données!J152</f>
        <v>20719.95</v>
      </c>
      <c r="K152" s="249">
        <f>Données!K152</f>
        <v>41.61</v>
      </c>
      <c r="L152" s="249">
        <f>Données!L152</f>
        <v>-5149.45</v>
      </c>
      <c r="M152" s="249">
        <f>Données!M152</f>
        <v>0</v>
      </c>
      <c r="N152" s="249">
        <f>Données!N152</f>
        <v>3084.2126883071551</v>
      </c>
      <c r="O152" s="249">
        <f>Données!O152</f>
        <v>221719.9</v>
      </c>
      <c r="P152" s="249">
        <f>Données!P152</f>
        <v>19247.77</v>
      </c>
      <c r="Q152" s="249">
        <f>Données!Q152</f>
        <v>1714.4</v>
      </c>
      <c r="R152" s="249">
        <f>Données!R152</f>
        <v>-24318.9</v>
      </c>
      <c r="S152" s="241"/>
      <c r="T152" s="233">
        <f t="shared" si="12"/>
        <v>4630845.0488704881</v>
      </c>
      <c r="U152" s="250">
        <f t="shared" si="13"/>
        <v>277149.875</v>
      </c>
      <c r="V152" s="250">
        <f t="shared" si="14"/>
        <v>-3356.7299999999996</v>
      </c>
      <c r="W152" s="251">
        <f t="shared" si="15"/>
        <v>4904638.1938704876</v>
      </c>
      <c r="X152" s="233">
        <f t="shared" si="16"/>
        <v>5529.468087790854</v>
      </c>
      <c r="Y152" s="252">
        <f t="shared" si="17"/>
        <v>1.6128459292552524</v>
      </c>
    </row>
    <row r="153" spans="1:25" x14ac:dyDescent="0.25">
      <c r="A153" s="108">
        <f>Données!A153</f>
        <v>5654</v>
      </c>
      <c r="B153" s="116" t="str">
        <f>Données!B153</f>
        <v>Vullierens</v>
      </c>
      <c r="C153" s="246">
        <f>Données!C153</f>
        <v>577</v>
      </c>
      <c r="D153" s="247">
        <f>Données!D153</f>
        <v>76</v>
      </c>
      <c r="E153" s="248">
        <f>Données!E153</f>
        <v>1</v>
      </c>
      <c r="F153" s="249">
        <f>Données!F153</f>
        <v>1361208.86</v>
      </c>
      <c r="G153" s="249">
        <f>Données!G153</f>
        <v>311530.74</v>
      </c>
      <c r="H153" s="249">
        <f>Données!H153</f>
        <v>52124.2</v>
      </c>
      <c r="I153" s="249">
        <f>Données!I153</f>
        <v>904.8</v>
      </c>
      <c r="J153" s="249">
        <f>Données!J153</f>
        <v>0</v>
      </c>
      <c r="K153" s="249">
        <f>Données!K153</f>
        <v>86.39</v>
      </c>
      <c r="L153" s="249">
        <f>Données!L153</f>
        <v>-10733.05</v>
      </c>
      <c r="M153" s="249">
        <f>Données!M153</f>
        <v>0</v>
      </c>
      <c r="N153" s="249">
        <f>Données!N153</f>
        <v>5041.8466215330027</v>
      </c>
      <c r="O153" s="249">
        <f>Données!O153</f>
        <v>121668.75</v>
      </c>
      <c r="P153" s="249">
        <f>Données!P153</f>
        <v>60690.53</v>
      </c>
      <c r="Q153" s="249">
        <f>Données!Q153</f>
        <v>1902.5</v>
      </c>
      <c r="R153" s="249">
        <f>Données!R153</f>
        <v>-974.5</v>
      </c>
      <c r="S153" s="241"/>
      <c r="T153" s="233">
        <f t="shared" si="12"/>
        <v>1525426.5642670663</v>
      </c>
      <c r="U153" s="250">
        <f t="shared" si="13"/>
        <v>121668.75</v>
      </c>
      <c r="V153" s="250">
        <f t="shared" si="14"/>
        <v>61618.53</v>
      </c>
      <c r="W153" s="251">
        <f t="shared" si="15"/>
        <v>1708713.8442670663</v>
      </c>
      <c r="X153" s="233">
        <f t="shared" si="16"/>
        <v>2961.3758132878102</v>
      </c>
      <c r="Y153" s="252">
        <f t="shared" si="17"/>
        <v>0.86377981563945017</v>
      </c>
    </row>
    <row r="154" spans="1:25" x14ac:dyDescent="0.25">
      <c r="A154" s="108">
        <f>Données!A154</f>
        <v>5655</v>
      </c>
      <c r="B154" s="116" t="str">
        <f>Données!B154</f>
        <v>Yens</v>
      </c>
      <c r="C154" s="246">
        <f>Données!C154</f>
        <v>1481</v>
      </c>
      <c r="D154" s="247">
        <f>Données!D154</f>
        <v>70</v>
      </c>
      <c r="E154" s="248">
        <f>Données!E154</f>
        <v>1</v>
      </c>
      <c r="F154" s="249">
        <f>Données!F154</f>
        <v>5441520.1900000004</v>
      </c>
      <c r="G154" s="249">
        <f>Données!G154</f>
        <v>973410.59</v>
      </c>
      <c r="H154" s="249">
        <f>Données!H154</f>
        <v>73659.5</v>
      </c>
      <c r="I154" s="249">
        <f>Données!I154</f>
        <v>3188.95</v>
      </c>
      <c r="J154" s="249">
        <f>Données!J154</f>
        <v>213333.25</v>
      </c>
      <c r="K154" s="249">
        <f>Données!K154</f>
        <v>11472.35</v>
      </c>
      <c r="L154" s="249">
        <f>Données!L154</f>
        <v>-31589.99</v>
      </c>
      <c r="M154" s="249">
        <f>Données!M154</f>
        <v>0</v>
      </c>
      <c r="N154" s="249">
        <f>Données!N154</f>
        <v>7306.5322371258717</v>
      </c>
      <c r="O154" s="249">
        <f>Données!O154</f>
        <v>460751.8</v>
      </c>
      <c r="P154" s="249">
        <f>Données!P154</f>
        <v>108124.78</v>
      </c>
      <c r="Q154" s="249">
        <f>Données!Q154</f>
        <v>4589.2</v>
      </c>
      <c r="R154" s="249">
        <f>Données!R154</f>
        <v>-22781.8</v>
      </c>
      <c r="S154" s="241"/>
      <c r="T154" s="233">
        <f t="shared" si="12"/>
        <v>6443362.2294766512</v>
      </c>
      <c r="U154" s="250">
        <f t="shared" si="13"/>
        <v>460751.8</v>
      </c>
      <c r="V154" s="250">
        <f t="shared" si="14"/>
        <v>89932.18</v>
      </c>
      <c r="W154" s="251">
        <f t="shared" si="15"/>
        <v>6994046.2094766507</v>
      </c>
      <c r="X154" s="233">
        <f t="shared" si="16"/>
        <v>4722.5160090996969</v>
      </c>
      <c r="Y154" s="252">
        <f t="shared" si="17"/>
        <v>1.3774725887173433</v>
      </c>
    </row>
    <row r="155" spans="1:25" x14ac:dyDescent="0.25">
      <c r="A155" s="108">
        <f>Données!A155</f>
        <v>5656</v>
      </c>
      <c r="B155" s="116" t="str">
        <f>Données!B155</f>
        <v>Hautemorges</v>
      </c>
      <c r="C155" s="246">
        <f>Données!C155</f>
        <v>4426</v>
      </c>
      <c r="D155" s="247">
        <f>Données!D155</f>
        <v>68</v>
      </c>
      <c r="E155" s="248">
        <f>Données!E155</f>
        <v>1</v>
      </c>
      <c r="F155" s="249">
        <f>Données!F155</f>
        <v>9127717.8900000006</v>
      </c>
      <c r="G155" s="249">
        <f>Données!G155</f>
        <v>1493316.48</v>
      </c>
      <c r="H155" s="249">
        <f>Données!H155</f>
        <v>253285.9</v>
      </c>
      <c r="I155" s="249">
        <f>Données!I155</f>
        <v>6569.85</v>
      </c>
      <c r="J155" s="249">
        <f>Données!J155</f>
        <v>183682.61</v>
      </c>
      <c r="K155" s="249">
        <f>Données!K155</f>
        <v>25176.89</v>
      </c>
      <c r="L155" s="249">
        <f>Données!L155</f>
        <v>-97753.01</v>
      </c>
      <c r="M155" s="249">
        <f>Données!M155</f>
        <v>0</v>
      </c>
      <c r="N155" s="249">
        <f>Données!N155</f>
        <v>24706.346248720973</v>
      </c>
      <c r="O155" s="249">
        <f>Données!O155</f>
        <v>964115.1</v>
      </c>
      <c r="P155" s="249">
        <f>Données!P155</f>
        <v>220978.43</v>
      </c>
      <c r="Q155" s="249">
        <f>Données!Q155</f>
        <v>35682</v>
      </c>
      <c r="R155" s="249">
        <f>Données!R155</f>
        <v>-5098.55</v>
      </c>
      <c r="S155" s="241"/>
      <c r="T155" s="233">
        <f t="shared" si="12"/>
        <v>10918873.230193252</v>
      </c>
      <c r="U155" s="250">
        <f t="shared" si="13"/>
        <v>964115.1</v>
      </c>
      <c r="V155" s="250">
        <f t="shared" si="14"/>
        <v>251561.88</v>
      </c>
      <c r="W155" s="251">
        <f t="shared" si="15"/>
        <v>12134550.210193252</v>
      </c>
      <c r="X155" s="233">
        <f t="shared" si="16"/>
        <v>2741.65165164782</v>
      </c>
      <c r="Y155" s="252">
        <f t="shared" si="17"/>
        <v>0.79969024788472165</v>
      </c>
    </row>
    <row r="156" spans="1:25" x14ac:dyDescent="0.25">
      <c r="A156" s="108">
        <f>Données!A156</f>
        <v>5661</v>
      </c>
      <c r="B156" s="116" t="str">
        <f>Données!B156</f>
        <v>Boulens</v>
      </c>
      <c r="C156" s="246">
        <f>Données!C156</f>
        <v>371</v>
      </c>
      <c r="D156" s="247">
        <f>Données!D156</f>
        <v>71.5</v>
      </c>
      <c r="E156" s="248">
        <f>Données!E156</f>
        <v>1</v>
      </c>
      <c r="F156" s="249">
        <f>Données!F156</f>
        <v>733741.66</v>
      </c>
      <c r="G156" s="249">
        <f>Données!G156</f>
        <v>68292.84</v>
      </c>
      <c r="H156" s="249">
        <f>Données!H156</f>
        <v>2713.8</v>
      </c>
      <c r="I156" s="249">
        <f>Données!I156</f>
        <v>989.7</v>
      </c>
      <c r="J156" s="249">
        <f>Données!J156</f>
        <v>0</v>
      </c>
      <c r="K156" s="249">
        <f>Données!K156</f>
        <v>0</v>
      </c>
      <c r="L156" s="249">
        <f>Données!L156</f>
        <v>-2916.7</v>
      </c>
      <c r="M156" s="249">
        <f>Données!M156</f>
        <v>0</v>
      </c>
      <c r="N156" s="249">
        <f>Données!N156</f>
        <v>352.11825534796947</v>
      </c>
      <c r="O156" s="249">
        <f>Données!O156</f>
        <v>65574.399999999994</v>
      </c>
      <c r="P156" s="249">
        <f>Données!P156</f>
        <v>9437.2900000000009</v>
      </c>
      <c r="Q156" s="249">
        <f>Données!Q156</f>
        <v>490</v>
      </c>
      <c r="R156" s="249">
        <f>Données!R156</f>
        <v>-62.6</v>
      </c>
      <c r="S156" s="241"/>
      <c r="T156" s="233">
        <f t="shared" si="12"/>
        <v>757074.08734355227</v>
      </c>
      <c r="U156" s="250">
        <f t="shared" si="13"/>
        <v>65574.399999999994</v>
      </c>
      <c r="V156" s="250">
        <f t="shared" si="14"/>
        <v>9864.69</v>
      </c>
      <c r="W156" s="251">
        <f t="shared" si="15"/>
        <v>832513.17734355223</v>
      </c>
      <c r="X156" s="233">
        <f t="shared" si="16"/>
        <v>2243.9708284192784</v>
      </c>
      <c r="Y156" s="252">
        <f t="shared" si="17"/>
        <v>0.6545257443432525</v>
      </c>
    </row>
    <row r="157" spans="1:25" x14ac:dyDescent="0.25">
      <c r="A157" s="108">
        <f>Données!A157</f>
        <v>5663</v>
      </c>
      <c r="B157" s="116" t="str">
        <f>Données!B157</f>
        <v>Bussy-sur-Moudon</v>
      </c>
      <c r="C157" s="246">
        <f>Données!C157</f>
        <v>267</v>
      </c>
      <c r="D157" s="247">
        <f>Données!D157</f>
        <v>78.5</v>
      </c>
      <c r="E157" s="248">
        <f>Données!E157</f>
        <v>1</v>
      </c>
      <c r="F157" s="249">
        <f>Données!F157</f>
        <v>451506.6</v>
      </c>
      <c r="G157" s="249">
        <f>Données!G157</f>
        <v>45456.49</v>
      </c>
      <c r="H157" s="249">
        <f>Données!H157</f>
        <v>2864</v>
      </c>
      <c r="I157" s="249">
        <f>Données!I157</f>
        <v>1985.05</v>
      </c>
      <c r="J157" s="249">
        <f>Données!J157</f>
        <v>0</v>
      </c>
      <c r="K157" s="249">
        <f>Données!K157</f>
        <v>0</v>
      </c>
      <c r="L157" s="249">
        <f>Données!L157</f>
        <v>-6449.05</v>
      </c>
      <c r="M157" s="249">
        <f>Données!M157</f>
        <v>0</v>
      </c>
      <c r="N157" s="249">
        <f>Données!N157</f>
        <v>461.03389390983438</v>
      </c>
      <c r="O157" s="249">
        <f>Données!O157</f>
        <v>41715.15</v>
      </c>
      <c r="P157" s="249">
        <f>Données!P157</f>
        <v>6404.25</v>
      </c>
      <c r="Q157" s="249">
        <f>Données!Q157</f>
        <v>477.7</v>
      </c>
      <c r="R157" s="249">
        <f>Données!R157</f>
        <v>-38.200000000000003</v>
      </c>
      <c r="S157" s="241"/>
      <c r="T157" s="233">
        <f t="shared" si="12"/>
        <v>425689.65209612047</v>
      </c>
      <c r="U157" s="250">
        <f t="shared" si="13"/>
        <v>41715.15</v>
      </c>
      <c r="V157" s="250">
        <f t="shared" si="14"/>
        <v>6843.75</v>
      </c>
      <c r="W157" s="251">
        <f t="shared" si="15"/>
        <v>474248.55209612049</v>
      </c>
      <c r="X157" s="233">
        <f t="shared" si="16"/>
        <v>1776.2118056034476</v>
      </c>
      <c r="Y157" s="252">
        <f t="shared" si="17"/>
        <v>0.51808888932518937</v>
      </c>
    </row>
    <row r="158" spans="1:25" x14ac:dyDescent="0.25">
      <c r="A158" s="108">
        <f>Données!A158</f>
        <v>5665</v>
      </c>
      <c r="B158" s="116" t="str">
        <f>Données!B158</f>
        <v>Chavannes-sur-Moudon</v>
      </c>
      <c r="C158" s="246">
        <f>Données!C158</f>
        <v>232</v>
      </c>
      <c r="D158" s="247">
        <f>Données!D158</f>
        <v>70</v>
      </c>
      <c r="E158" s="248">
        <f>Données!E158</f>
        <v>1</v>
      </c>
      <c r="F158" s="249">
        <f>Données!F158</f>
        <v>338054.51</v>
      </c>
      <c r="G158" s="249">
        <f>Données!G158</f>
        <v>64132.33</v>
      </c>
      <c r="H158" s="249">
        <f>Données!H158</f>
        <v>2283.4499999999998</v>
      </c>
      <c r="I158" s="249">
        <f>Données!I158</f>
        <v>954.25</v>
      </c>
      <c r="J158" s="249">
        <f>Données!J158</f>
        <v>0</v>
      </c>
      <c r="K158" s="249">
        <f>Données!K158</f>
        <v>0</v>
      </c>
      <c r="L158" s="249">
        <f>Données!L158</f>
        <v>-6965.42</v>
      </c>
      <c r="M158" s="249">
        <f>Données!M158</f>
        <v>0</v>
      </c>
      <c r="N158" s="249">
        <f>Données!N158</f>
        <v>307.83131506416112</v>
      </c>
      <c r="O158" s="249">
        <f>Données!O158</f>
        <v>32930.800000000003</v>
      </c>
      <c r="P158" s="249">
        <f>Données!P158</f>
        <v>8426.7800000000007</v>
      </c>
      <c r="Q158" s="249">
        <f>Données!Q158</f>
        <v>896.5</v>
      </c>
      <c r="R158" s="249">
        <f>Données!R158</f>
        <v>0</v>
      </c>
      <c r="S158" s="241"/>
      <c r="T158" s="233">
        <f t="shared" si="12"/>
        <v>383933.68283235747</v>
      </c>
      <c r="U158" s="250">
        <f t="shared" si="13"/>
        <v>32930.800000000003</v>
      </c>
      <c r="V158" s="250">
        <f t="shared" si="14"/>
        <v>9323.2800000000007</v>
      </c>
      <c r="W158" s="251">
        <f t="shared" si="15"/>
        <v>426187.76283235749</v>
      </c>
      <c r="X158" s="233">
        <f t="shared" si="16"/>
        <v>1837.0162191049892</v>
      </c>
      <c r="Y158" s="252">
        <f t="shared" si="17"/>
        <v>0.53582443806870239</v>
      </c>
    </row>
    <row r="159" spans="1:25" x14ac:dyDescent="0.25">
      <c r="A159" s="108">
        <f>Données!A159</f>
        <v>5671</v>
      </c>
      <c r="B159" s="116" t="str">
        <f>Données!B159</f>
        <v>Dompierre</v>
      </c>
      <c r="C159" s="246">
        <f>Données!C159</f>
        <v>242</v>
      </c>
      <c r="D159" s="247">
        <f>Données!D159</f>
        <v>78</v>
      </c>
      <c r="E159" s="248">
        <f>Données!E159</f>
        <v>1</v>
      </c>
      <c r="F159" s="249">
        <f>Données!F159</f>
        <v>314457.8</v>
      </c>
      <c r="G159" s="249">
        <f>Données!G159</f>
        <v>50819.91</v>
      </c>
      <c r="H159" s="249">
        <f>Données!H159</f>
        <v>-4709</v>
      </c>
      <c r="I159" s="249">
        <f>Données!I159</f>
        <v>4358.1000000000004</v>
      </c>
      <c r="J159" s="249">
        <f>Données!J159</f>
        <v>0</v>
      </c>
      <c r="K159" s="249">
        <f>Données!K159</f>
        <v>0</v>
      </c>
      <c r="L159" s="249">
        <f>Données!L159</f>
        <v>-5140.59</v>
      </c>
      <c r="M159" s="249">
        <f>Données!M159</f>
        <v>0</v>
      </c>
      <c r="N159" s="249">
        <f>Données!N159</f>
        <v>-33.362574808047079</v>
      </c>
      <c r="O159" s="249">
        <f>Données!O159</f>
        <v>38199.5</v>
      </c>
      <c r="P159" s="249">
        <f>Données!P159</f>
        <v>8088.43</v>
      </c>
      <c r="Q159" s="249">
        <f>Données!Q159</f>
        <v>267</v>
      </c>
      <c r="R159" s="249">
        <f>Données!R159</f>
        <v>-59.6</v>
      </c>
      <c r="S159" s="241"/>
      <c r="T159" s="233">
        <f t="shared" si="12"/>
        <v>310845.61567001964</v>
      </c>
      <c r="U159" s="250">
        <f t="shared" si="13"/>
        <v>38199.5</v>
      </c>
      <c r="V159" s="250">
        <f t="shared" si="14"/>
        <v>8295.83</v>
      </c>
      <c r="W159" s="251">
        <f t="shared" si="15"/>
        <v>357340.94567001966</v>
      </c>
      <c r="X159" s="233">
        <f t="shared" si="16"/>
        <v>1476.6154779752878</v>
      </c>
      <c r="Y159" s="252">
        <f t="shared" si="17"/>
        <v>0.43070205396179895</v>
      </c>
    </row>
    <row r="160" spans="1:25" x14ac:dyDescent="0.25">
      <c r="A160" s="108">
        <f>Données!A160</f>
        <v>5673</v>
      </c>
      <c r="B160" s="116" t="str">
        <f>Données!B160</f>
        <v>Hermenches</v>
      </c>
      <c r="C160" s="246">
        <f>Données!C160</f>
        <v>364</v>
      </c>
      <c r="D160" s="247">
        <f>Données!D160</f>
        <v>73.5</v>
      </c>
      <c r="E160" s="248">
        <f>Données!E160</f>
        <v>0.6</v>
      </c>
      <c r="F160" s="249">
        <f>Données!F160</f>
        <v>566580</v>
      </c>
      <c r="G160" s="249">
        <f>Données!G160</f>
        <v>80224.509999999995</v>
      </c>
      <c r="H160" s="249">
        <f>Données!H160</f>
        <v>2430.9499999999998</v>
      </c>
      <c r="I160" s="249">
        <f>Données!I160</f>
        <v>1099.2</v>
      </c>
      <c r="J160" s="249">
        <f>Données!J160</f>
        <v>0</v>
      </c>
      <c r="K160" s="249">
        <f>Données!K160</f>
        <v>404.55</v>
      </c>
      <c r="L160" s="249">
        <f>Données!L160</f>
        <v>-5434.24</v>
      </c>
      <c r="M160" s="249">
        <f>Données!M160</f>
        <v>0</v>
      </c>
      <c r="N160" s="249">
        <f>Données!N160</f>
        <v>335.63662997613994</v>
      </c>
      <c r="O160" s="249">
        <f>Données!O160</f>
        <v>30509.1</v>
      </c>
      <c r="P160" s="249">
        <f>Données!P160</f>
        <v>6241.5</v>
      </c>
      <c r="Q160" s="249">
        <f>Données!Q160</f>
        <v>408</v>
      </c>
      <c r="R160" s="249">
        <f>Données!R160</f>
        <v>0</v>
      </c>
      <c r="S160" s="241"/>
      <c r="T160" s="233">
        <f t="shared" si="12"/>
        <v>592023.02085057436</v>
      </c>
      <c r="U160" s="250">
        <f t="shared" si="13"/>
        <v>50848.5</v>
      </c>
      <c r="V160" s="250">
        <f t="shared" si="14"/>
        <v>6649.5</v>
      </c>
      <c r="W160" s="251">
        <f t="shared" si="15"/>
        <v>649521.02085057436</v>
      </c>
      <c r="X160" s="233">
        <f t="shared" si="16"/>
        <v>1784.3984089301493</v>
      </c>
      <c r="Y160" s="252">
        <f t="shared" si="17"/>
        <v>0.52047677359186095</v>
      </c>
    </row>
    <row r="161" spans="1:25" x14ac:dyDescent="0.25">
      <c r="A161" s="108">
        <f>Données!A161</f>
        <v>5674</v>
      </c>
      <c r="B161" s="116" t="str">
        <f>Données!B161</f>
        <v>Lovatens</v>
      </c>
      <c r="C161" s="246">
        <f>Données!C161</f>
        <v>152</v>
      </c>
      <c r="D161" s="247">
        <f>Données!D161</f>
        <v>75</v>
      </c>
      <c r="E161" s="248">
        <f>Données!E161</f>
        <v>0.7</v>
      </c>
      <c r="F161" s="249">
        <f>Données!F161</f>
        <v>327208.71000000002</v>
      </c>
      <c r="G161" s="249">
        <f>Données!G161</f>
        <v>41375.26</v>
      </c>
      <c r="H161" s="249">
        <f>Données!H161</f>
        <v>3079.1</v>
      </c>
      <c r="I161" s="249">
        <f>Données!I161</f>
        <v>1005</v>
      </c>
      <c r="J161" s="249">
        <f>Données!J161</f>
        <v>0</v>
      </c>
      <c r="K161" s="249">
        <f>Données!K161</f>
        <v>1761.67</v>
      </c>
      <c r="L161" s="249">
        <f>Données!L161</f>
        <v>-4394.32</v>
      </c>
      <c r="M161" s="249">
        <f>Données!M161</f>
        <v>0</v>
      </c>
      <c r="N161" s="249">
        <f>Données!N161</f>
        <v>388.30462175418984</v>
      </c>
      <c r="O161" s="249">
        <f>Données!O161</f>
        <v>16108.95</v>
      </c>
      <c r="P161" s="249">
        <f>Données!P161</f>
        <v>161.11000000000001</v>
      </c>
      <c r="Q161" s="249">
        <f>Données!Q161</f>
        <v>64.099999999999994</v>
      </c>
      <c r="R161" s="249">
        <f>Données!R161</f>
        <v>-402.65</v>
      </c>
      <c r="S161" s="241"/>
      <c r="T161" s="233">
        <f t="shared" si="12"/>
        <v>332868.44536957023</v>
      </c>
      <c r="U161" s="250">
        <f t="shared" si="13"/>
        <v>23012.785714285717</v>
      </c>
      <c r="V161" s="250">
        <f t="shared" si="14"/>
        <v>-177.43999999999997</v>
      </c>
      <c r="W161" s="251">
        <f t="shared" si="15"/>
        <v>355703.79108385596</v>
      </c>
      <c r="X161" s="233">
        <f t="shared" si="16"/>
        <v>2340.1565202885263</v>
      </c>
      <c r="Y161" s="252">
        <f t="shared" si="17"/>
        <v>0.68258137268234198</v>
      </c>
    </row>
    <row r="162" spans="1:25" x14ac:dyDescent="0.25">
      <c r="A162" s="108">
        <f>Données!A162</f>
        <v>5675</v>
      </c>
      <c r="B162" s="116" t="str">
        <f>Données!B162</f>
        <v>Lucens</v>
      </c>
      <c r="C162" s="246">
        <f>Données!C162</f>
        <v>5194</v>
      </c>
      <c r="D162" s="247">
        <f>Données!D162</f>
        <v>69.5</v>
      </c>
      <c r="E162" s="248">
        <f>Données!E162</f>
        <v>1.1000000000000001</v>
      </c>
      <c r="F162" s="249">
        <f>Données!F162</f>
        <v>5520223.0091780825</v>
      </c>
      <c r="G162" s="249">
        <f>Données!G162</f>
        <v>732846.16431506851</v>
      </c>
      <c r="H162" s="249">
        <f>Données!H162</f>
        <v>14098.595890410948</v>
      </c>
      <c r="I162" s="249">
        <f>Données!I162</f>
        <v>78159.144520547939</v>
      </c>
      <c r="J162" s="249">
        <f>Données!J162</f>
        <v>0</v>
      </c>
      <c r="K162" s="249">
        <f>Données!K162</f>
        <v>36411.879999999997</v>
      </c>
      <c r="L162" s="249">
        <f>Données!L162</f>
        <v>-203113.29198630137</v>
      </c>
      <c r="M162" s="249">
        <f>Données!M162</f>
        <v>0</v>
      </c>
      <c r="N162" s="249">
        <f>Données!N162</f>
        <v>8771.60377908808</v>
      </c>
      <c r="O162" s="249">
        <f>Données!O162</f>
        <v>870391.41</v>
      </c>
      <c r="P162" s="249">
        <f>Données!P162</f>
        <v>350121.28</v>
      </c>
      <c r="Q162" s="249">
        <f>Données!Q162</f>
        <v>-29439.35</v>
      </c>
      <c r="R162" s="249">
        <f>Données!R162</f>
        <v>-2447.85</v>
      </c>
      <c r="S162" s="241"/>
      <c r="T162" s="233">
        <f t="shared" si="12"/>
        <v>6000097.1468472593</v>
      </c>
      <c r="U162" s="250">
        <f t="shared" si="13"/>
        <v>791264.9181818181</v>
      </c>
      <c r="V162" s="250">
        <f t="shared" si="14"/>
        <v>318234.08000000007</v>
      </c>
      <c r="W162" s="251">
        <f t="shared" si="15"/>
        <v>7109596.1450290773</v>
      </c>
      <c r="X162" s="233">
        <f t="shared" si="16"/>
        <v>1368.809423378721</v>
      </c>
      <c r="Y162" s="252">
        <f t="shared" si="17"/>
        <v>0.39925697578347297</v>
      </c>
    </row>
    <row r="163" spans="1:25" x14ac:dyDescent="0.25">
      <c r="A163" s="108">
        <f>Données!A163</f>
        <v>5678</v>
      </c>
      <c r="B163" s="116" t="str">
        <f>Données!B163</f>
        <v>Moudon</v>
      </c>
      <c r="C163" s="246">
        <f>Données!C163</f>
        <v>6847</v>
      </c>
      <c r="D163" s="247">
        <f>Données!D163</f>
        <v>72.5</v>
      </c>
      <c r="E163" s="248">
        <f>Données!E163</f>
        <v>1</v>
      </c>
      <c r="F163" s="249">
        <f>Données!F163</f>
        <v>7430420.7599999998</v>
      </c>
      <c r="G163" s="249">
        <f>Données!G163</f>
        <v>774839.17</v>
      </c>
      <c r="H163" s="249">
        <f>Données!H163</f>
        <v>643088.85</v>
      </c>
      <c r="I163" s="249">
        <f>Données!I163</f>
        <v>22909.200000000001</v>
      </c>
      <c r="J163" s="249">
        <f>Données!J163</f>
        <v>0</v>
      </c>
      <c r="K163" s="249">
        <f>Données!K163</f>
        <v>46440.68</v>
      </c>
      <c r="L163" s="249">
        <f>Données!L163</f>
        <v>-313081.40999999997</v>
      </c>
      <c r="M163" s="249">
        <f>Données!M163</f>
        <v>0</v>
      </c>
      <c r="N163" s="249">
        <f>Données!N163</f>
        <v>63321.201952517818</v>
      </c>
      <c r="O163" s="249">
        <f>Données!O163</f>
        <v>994719.8</v>
      </c>
      <c r="P163" s="249">
        <f>Données!P163</f>
        <v>594586.59</v>
      </c>
      <c r="Q163" s="249">
        <f>Données!Q163</f>
        <v>91510.75</v>
      </c>
      <c r="R163" s="249">
        <f>Données!R163</f>
        <v>-3571.99</v>
      </c>
      <c r="S163" s="241"/>
      <c r="T163" s="233">
        <f t="shared" si="12"/>
        <v>8057733.6782219531</v>
      </c>
      <c r="U163" s="250">
        <f t="shared" si="13"/>
        <v>994719.8</v>
      </c>
      <c r="V163" s="250">
        <f t="shared" si="14"/>
        <v>682525.35</v>
      </c>
      <c r="W163" s="251">
        <f t="shared" si="15"/>
        <v>9734978.8282219525</v>
      </c>
      <c r="X163" s="233">
        <f t="shared" si="16"/>
        <v>1421.7874730863082</v>
      </c>
      <c r="Y163" s="252">
        <f t="shared" si="17"/>
        <v>0.41470971562284903</v>
      </c>
    </row>
    <row r="164" spans="1:25" x14ac:dyDescent="0.25">
      <c r="A164" s="108">
        <f>Données!A164</f>
        <v>5680</v>
      </c>
      <c r="B164" s="116" t="str">
        <f>Données!B164</f>
        <v>Ogens</v>
      </c>
      <c r="C164" s="246">
        <f>Données!C164</f>
        <v>342</v>
      </c>
      <c r="D164" s="247">
        <f>Données!D164</f>
        <v>78</v>
      </c>
      <c r="E164" s="248">
        <f>Données!E164</f>
        <v>1.5</v>
      </c>
      <c r="F164" s="249">
        <f>Données!F164</f>
        <v>761265.86</v>
      </c>
      <c r="G164" s="249">
        <f>Données!G164</f>
        <v>79227.649999999994</v>
      </c>
      <c r="H164" s="249">
        <f>Données!H164</f>
        <v>-62609.55</v>
      </c>
      <c r="I164" s="249">
        <f>Données!I164</f>
        <v>5121.55</v>
      </c>
      <c r="J164" s="249">
        <f>Données!J164</f>
        <v>0</v>
      </c>
      <c r="K164" s="249">
        <f>Données!K164</f>
        <v>8.61</v>
      </c>
      <c r="L164" s="249">
        <f>Données!L164</f>
        <v>-4257.97</v>
      </c>
      <c r="M164" s="249">
        <f>Données!M164</f>
        <v>0</v>
      </c>
      <c r="N164" s="249">
        <f>Données!N164</f>
        <v>-5465.7956698917433</v>
      </c>
      <c r="O164" s="249">
        <f>Données!O164</f>
        <v>94872.75</v>
      </c>
      <c r="P164" s="249">
        <f>Données!P164</f>
        <v>-5213.5600000000004</v>
      </c>
      <c r="Q164" s="249">
        <f>Données!Q164</f>
        <v>4302.95</v>
      </c>
      <c r="R164" s="249">
        <f>Données!R164</f>
        <v>0</v>
      </c>
      <c r="S164" s="241"/>
      <c r="T164" s="233">
        <f t="shared" si="12"/>
        <v>668164.02238977153</v>
      </c>
      <c r="U164" s="250">
        <f t="shared" si="13"/>
        <v>63248.5</v>
      </c>
      <c r="V164" s="250">
        <f t="shared" si="14"/>
        <v>-910.61000000000058</v>
      </c>
      <c r="W164" s="251">
        <f t="shared" si="15"/>
        <v>730501.91238977155</v>
      </c>
      <c r="X164" s="233">
        <f t="shared" si="16"/>
        <v>2135.9705040636595</v>
      </c>
      <c r="Y164" s="252">
        <f t="shared" si="17"/>
        <v>0.62302400118647105</v>
      </c>
    </row>
    <row r="165" spans="1:25" x14ac:dyDescent="0.25">
      <c r="A165" s="108">
        <f>Données!A165</f>
        <v>5683</v>
      </c>
      <c r="B165" s="116" t="str">
        <f>Données!B165</f>
        <v>Prévonloup</v>
      </c>
      <c r="C165" s="246">
        <f>Données!C165</f>
        <v>249</v>
      </c>
      <c r="D165" s="247">
        <f>Données!D165</f>
        <v>72.5</v>
      </c>
      <c r="E165" s="248">
        <f>Données!E165</f>
        <v>1</v>
      </c>
      <c r="F165" s="249">
        <f>Données!F165</f>
        <v>347658.69</v>
      </c>
      <c r="G165" s="249">
        <f>Données!G165</f>
        <v>22441.15</v>
      </c>
      <c r="H165" s="249">
        <f>Données!H165</f>
        <v>3572.45</v>
      </c>
      <c r="I165" s="249">
        <f>Données!I165</f>
        <v>1267.5999999999999</v>
      </c>
      <c r="J165" s="249">
        <f>Données!J165</f>
        <v>0</v>
      </c>
      <c r="K165" s="249">
        <f>Données!K165</f>
        <v>1457.59</v>
      </c>
      <c r="L165" s="249">
        <f>Données!L165</f>
        <v>-15763.54</v>
      </c>
      <c r="M165" s="249">
        <f>Données!M165</f>
        <v>0</v>
      </c>
      <c r="N165" s="249">
        <f>Données!N165</f>
        <v>460.17819948614539</v>
      </c>
      <c r="O165" s="249">
        <f>Données!O165</f>
        <v>34409.65</v>
      </c>
      <c r="P165" s="249">
        <f>Données!P165</f>
        <v>1424.35</v>
      </c>
      <c r="Q165" s="249">
        <f>Données!Q165</f>
        <v>2171.85</v>
      </c>
      <c r="R165" s="249">
        <f>Données!R165</f>
        <v>-273.64999999999998</v>
      </c>
      <c r="S165" s="241"/>
      <c r="T165" s="233">
        <f t="shared" si="12"/>
        <v>335673.84601911315</v>
      </c>
      <c r="U165" s="250">
        <f t="shared" si="13"/>
        <v>34409.65</v>
      </c>
      <c r="V165" s="250">
        <f t="shared" si="14"/>
        <v>3322.5499999999997</v>
      </c>
      <c r="W165" s="251">
        <f t="shared" si="15"/>
        <v>373406.04601911316</v>
      </c>
      <c r="X165" s="233">
        <f t="shared" si="16"/>
        <v>1499.6226747755547</v>
      </c>
      <c r="Y165" s="252">
        <f t="shared" si="17"/>
        <v>0.43741283755142091</v>
      </c>
    </row>
    <row r="166" spans="1:25" x14ac:dyDescent="0.25">
      <c r="A166" s="108">
        <f>Données!A166</f>
        <v>5684</v>
      </c>
      <c r="B166" s="116" t="str">
        <f>Données!B166</f>
        <v>Rossenges</v>
      </c>
      <c r="C166" s="246">
        <f>Données!C166</f>
        <v>82</v>
      </c>
      <c r="D166" s="247">
        <f>Données!D166</f>
        <v>65</v>
      </c>
      <c r="E166" s="248">
        <f>Données!E166</f>
        <v>0.8</v>
      </c>
      <c r="F166" s="249">
        <f>Données!F166</f>
        <v>150549.16</v>
      </c>
      <c r="G166" s="249">
        <f>Données!G166</f>
        <v>23932.21</v>
      </c>
      <c r="H166" s="249">
        <f>Données!H166</f>
        <v>1100.7</v>
      </c>
      <c r="I166" s="249">
        <f>Données!I166</f>
        <v>776.1</v>
      </c>
      <c r="J166" s="249">
        <f>Données!J166</f>
        <v>0</v>
      </c>
      <c r="K166" s="249">
        <f>Données!K166</f>
        <v>0</v>
      </c>
      <c r="L166" s="249">
        <f>Données!L166</f>
        <v>-36.479999999999997</v>
      </c>
      <c r="M166" s="249">
        <f>Données!M166</f>
        <v>0</v>
      </c>
      <c r="N166" s="249">
        <f>Données!N166</f>
        <v>178.44081048658543</v>
      </c>
      <c r="O166" s="249">
        <f>Données!O166</f>
        <v>11178.1</v>
      </c>
      <c r="P166" s="249">
        <f>Données!P166</f>
        <v>9532.1299999999992</v>
      </c>
      <c r="Q166" s="249">
        <f>Données!Q166</f>
        <v>0</v>
      </c>
      <c r="R166" s="249">
        <f>Données!R166</f>
        <v>-69.150000000000006</v>
      </c>
      <c r="S166" s="241"/>
      <c r="T166" s="233">
        <f t="shared" si="12"/>
        <v>183006.60810412059</v>
      </c>
      <c r="U166" s="250">
        <f t="shared" si="13"/>
        <v>13972.625</v>
      </c>
      <c r="V166" s="250">
        <f t="shared" si="14"/>
        <v>9462.98</v>
      </c>
      <c r="W166" s="251">
        <f t="shared" si="15"/>
        <v>206442.2131041206</v>
      </c>
      <c r="X166" s="233">
        <f t="shared" si="16"/>
        <v>2517.5879646843978</v>
      </c>
      <c r="Y166" s="252">
        <f t="shared" si="17"/>
        <v>0.7343349190040267</v>
      </c>
    </row>
    <row r="167" spans="1:25" x14ac:dyDescent="0.25">
      <c r="A167" s="108">
        <f>Données!A167</f>
        <v>5688</v>
      </c>
      <c r="B167" s="116" t="str">
        <f>Données!B167</f>
        <v>Syens</v>
      </c>
      <c r="C167" s="246">
        <f>Données!C167</f>
        <v>144</v>
      </c>
      <c r="D167" s="247">
        <f>Données!D167</f>
        <v>65</v>
      </c>
      <c r="E167" s="248">
        <f>Données!E167</f>
        <v>1</v>
      </c>
      <c r="F167" s="249">
        <f>Données!F167</f>
        <v>215250.6</v>
      </c>
      <c r="G167" s="249">
        <f>Données!G167</f>
        <v>48631.57</v>
      </c>
      <c r="H167" s="249">
        <f>Données!H167</f>
        <v>2952.05</v>
      </c>
      <c r="I167" s="249">
        <f>Données!I167</f>
        <v>1164.75</v>
      </c>
      <c r="J167" s="249">
        <f>Données!J167</f>
        <v>0</v>
      </c>
      <c r="K167" s="249">
        <f>Données!K167</f>
        <v>332.92</v>
      </c>
      <c r="L167" s="249">
        <f>Données!L167</f>
        <v>-9054.9</v>
      </c>
      <c r="M167" s="249">
        <f>Données!M167</f>
        <v>0</v>
      </c>
      <c r="N167" s="249">
        <f>Données!N167</f>
        <v>391.41364482692609</v>
      </c>
      <c r="O167" s="249">
        <f>Données!O167</f>
        <v>26322</v>
      </c>
      <c r="P167" s="249">
        <f>Données!P167</f>
        <v>4200.21</v>
      </c>
      <c r="Q167" s="249">
        <f>Données!Q167</f>
        <v>814.5</v>
      </c>
      <c r="R167" s="249">
        <f>Données!R167</f>
        <v>-35.4</v>
      </c>
      <c r="S167" s="241"/>
      <c r="T167" s="233">
        <f t="shared" si="12"/>
        <v>269240.78506137861</v>
      </c>
      <c r="U167" s="250">
        <f t="shared" si="13"/>
        <v>26322</v>
      </c>
      <c r="V167" s="250">
        <f t="shared" si="14"/>
        <v>4979.3100000000004</v>
      </c>
      <c r="W167" s="251">
        <f t="shared" si="15"/>
        <v>300542.09506137861</v>
      </c>
      <c r="X167" s="233">
        <f t="shared" si="16"/>
        <v>2087.0978823706846</v>
      </c>
      <c r="Y167" s="252">
        <f t="shared" si="17"/>
        <v>0.60876874051798269</v>
      </c>
    </row>
    <row r="168" spans="1:25" x14ac:dyDescent="0.25">
      <c r="A168" s="108">
        <f>Données!A168</f>
        <v>5690</v>
      </c>
      <c r="B168" s="116" t="str">
        <f>Données!B168</f>
        <v>Villars-le-Comte</v>
      </c>
      <c r="C168" s="246">
        <f>Données!C168</f>
        <v>129</v>
      </c>
      <c r="D168" s="247">
        <f>Données!D168</f>
        <v>68</v>
      </c>
      <c r="E168" s="248">
        <f>Données!E168</f>
        <v>1</v>
      </c>
      <c r="F168" s="249">
        <f>Données!F168</f>
        <v>250454.99</v>
      </c>
      <c r="G168" s="249">
        <f>Données!G168</f>
        <v>32901.49</v>
      </c>
      <c r="H168" s="249">
        <f>Données!H168</f>
        <v>2418.0500000000002</v>
      </c>
      <c r="I168" s="249">
        <f>Données!I168</f>
        <v>1323.35</v>
      </c>
      <c r="J168" s="249">
        <f>Données!J168</f>
        <v>0</v>
      </c>
      <c r="K168" s="249">
        <f>Données!K168</f>
        <v>0</v>
      </c>
      <c r="L168" s="249">
        <f>Données!L168</f>
        <v>-41.17</v>
      </c>
      <c r="M168" s="249">
        <f>Données!M168</f>
        <v>0</v>
      </c>
      <c r="N168" s="249">
        <f>Données!N168</f>
        <v>355.7216796432815</v>
      </c>
      <c r="O168" s="249">
        <f>Données!O168</f>
        <v>25732.6</v>
      </c>
      <c r="P168" s="249">
        <f>Données!P168</f>
        <v>-6696.62</v>
      </c>
      <c r="Q168" s="249">
        <f>Données!Q168</f>
        <v>184.3</v>
      </c>
      <c r="R168" s="249">
        <f>Données!R168</f>
        <v>0</v>
      </c>
      <c r="S168" s="241"/>
      <c r="T168" s="233">
        <f t="shared" si="12"/>
        <v>284860.17266278306</v>
      </c>
      <c r="U168" s="250">
        <f t="shared" si="13"/>
        <v>25732.6</v>
      </c>
      <c r="V168" s="250">
        <f t="shared" si="14"/>
        <v>-6512.32</v>
      </c>
      <c r="W168" s="251">
        <f t="shared" si="15"/>
        <v>304080.45266278303</v>
      </c>
      <c r="X168" s="233">
        <f t="shared" si="16"/>
        <v>2357.2128113394033</v>
      </c>
      <c r="Y168" s="252">
        <f t="shared" si="17"/>
        <v>0.68755638459177693</v>
      </c>
    </row>
    <row r="169" spans="1:25" x14ac:dyDescent="0.25">
      <c r="A169" s="108">
        <f>Données!A169</f>
        <v>5692</v>
      </c>
      <c r="B169" s="116" t="str">
        <f>Données!B169</f>
        <v>Vucherens</v>
      </c>
      <c r="C169" s="246">
        <f>Données!C169</f>
        <v>634</v>
      </c>
      <c r="D169" s="247">
        <f>Données!D169</f>
        <v>75</v>
      </c>
      <c r="E169" s="248">
        <f>Données!E169</f>
        <v>1</v>
      </c>
      <c r="F169" s="249">
        <f>Données!F169</f>
        <v>1022748.44</v>
      </c>
      <c r="G169" s="249">
        <f>Données!G169</f>
        <v>107506.59</v>
      </c>
      <c r="H169" s="249">
        <f>Données!H169</f>
        <v>22190.1</v>
      </c>
      <c r="I169" s="249">
        <f>Données!I169</f>
        <v>2941.65</v>
      </c>
      <c r="J169" s="249">
        <f>Données!J169</f>
        <v>0</v>
      </c>
      <c r="K169" s="249">
        <f>Données!K169</f>
        <v>1419.34</v>
      </c>
      <c r="L169" s="249">
        <f>Données!L169</f>
        <v>-9089.24</v>
      </c>
      <c r="M169" s="249">
        <f>Données!M169</f>
        <v>0</v>
      </c>
      <c r="N169" s="249">
        <f>Données!N169</f>
        <v>2389.4553702825251</v>
      </c>
      <c r="O169" s="249">
        <f>Données!O169</f>
        <v>119624</v>
      </c>
      <c r="P169" s="249">
        <f>Données!P169</f>
        <v>16279.97</v>
      </c>
      <c r="Q169" s="249">
        <f>Données!Q169</f>
        <v>4766.5</v>
      </c>
      <c r="R169" s="249">
        <f>Données!R169</f>
        <v>-814.25</v>
      </c>
      <c r="S169" s="241"/>
      <c r="T169" s="233">
        <f t="shared" si="12"/>
        <v>1033503.2084009137</v>
      </c>
      <c r="U169" s="250">
        <f t="shared" si="13"/>
        <v>119624</v>
      </c>
      <c r="V169" s="250">
        <f t="shared" si="14"/>
        <v>20232.22</v>
      </c>
      <c r="W169" s="251">
        <f t="shared" si="15"/>
        <v>1173359.4284009137</v>
      </c>
      <c r="X169" s="233">
        <f t="shared" si="16"/>
        <v>1850.7246504746274</v>
      </c>
      <c r="Y169" s="252">
        <f t="shared" si="17"/>
        <v>0.53982293980159313</v>
      </c>
    </row>
    <row r="170" spans="1:25" x14ac:dyDescent="0.25">
      <c r="A170" s="108">
        <f>Données!A170</f>
        <v>5693</v>
      </c>
      <c r="B170" s="116" t="str">
        <f>Données!B170</f>
        <v>Montanaire</v>
      </c>
      <c r="C170" s="246">
        <f>Données!C170</f>
        <v>2856</v>
      </c>
      <c r="D170" s="247">
        <f>Données!D170</f>
        <v>70</v>
      </c>
      <c r="E170" s="248">
        <f>Données!E170</f>
        <v>1</v>
      </c>
      <c r="F170" s="249">
        <f>Données!F170</f>
        <v>4186201.58</v>
      </c>
      <c r="G170" s="249">
        <f>Données!G170</f>
        <v>634476.19999999995</v>
      </c>
      <c r="H170" s="249">
        <f>Données!H170</f>
        <v>173604.85</v>
      </c>
      <c r="I170" s="249">
        <f>Données!I170</f>
        <v>4757.3999999999996</v>
      </c>
      <c r="J170" s="249">
        <f>Données!J170</f>
        <v>0</v>
      </c>
      <c r="K170" s="249">
        <f>Données!K170</f>
        <v>13967.84</v>
      </c>
      <c r="L170" s="249">
        <f>Données!L170</f>
        <v>-108771.16</v>
      </c>
      <c r="M170" s="249">
        <f>Données!M170</f>
        <v>0</v>
      </c>
      <c r="N170" s="249">
        <f>Données!N170</f>
        <v>16958.175857955546</v>
      </c>
      <c r="O170" s="249">
        <f>Données!O170</f>
        <v>486053.65</v>
      </c>
      <c r="P170" s="249">
        <f>Données!P170</f>
        <v>69908.22</v>
      </c>
      <c r="Q170" s="249">
        <f>Données!Q170</f>
        <v>13661.1</v>
      </c>
      <c r="R170" s="249">
        <f>Données!R170</f>
        <v>-1343.5</v>
      </c>
      <c r="S170" s="241"/>
      <c r="T170" s="233">
        <f t="shared" si="12"/>
        <v>4738137.0753826359</v>
      </c>
      <c r="U170" s="250">
        <f t="shared" si="13"/>
        <v>486053.65</v>
      </c>
      <c r="V170" s="250">
        <f t="shared" si="14"/>
        <v>82225.820000000007</v>
      </c>
      <c r="W170" s="251">
        <f t="shared" si="15"/>
        <v>5306416.5453826366</v>
      </c>
      <c r="X170" s="233">
        <f t="shared" si="16"/>
        <v>1857.9889864785141</v>
      </c>
      <c r="Y170" s="252">
        <f t="shared" si="17"/>
        <v>0.54194181535464692</v>
      </c>
    </row>
    <row r="171" spans="1:25" x14ac:dyDescent="0.25">
      <c r="A171" s="108">
        <f>Données!A171</f>
        <v>5701</v>
      </c>
      <c r="B171" s="116" t="str">
        <f>Données!B171</f>
        <v>Arnex-sur-Nyon</v>
      </c>
      <c r="C171" s="246">
        <f>Données!C171</f>
        <v>274</v>
      </c>
      <c r="D171" s="247">
        <f>Données!D171</f>
        <v>68</v>
      </c>
      <c r="E171" s="248">
        <f>Données!E171</f>
        <v>1</v>
      </c>
      <c r="F171" s="249">
        <f>Données!F171</f>
        <v>698092.47</v>
      </c>
      <c r="G171" s="249">
        <f>Données!G171</f>
        <v>175046.57</v>
      </c>
      <c r="H171" s="249">
        <f>Données!H171</f>
        <v>20548.599999999999</v>
      </c>
      <c r="I171" s="249">
        <f>Données!I171</f>
        <v>2105.3000000000002</v>
      </c>
      <c r="J171" s="249">
        <f>Données!J171</f>
        <v>265291.5</v>
      </c>
      <c r="K171" s="249">
        <f>Données!K171</f>
        <v>0</v>
      </c>
      <c r="L171" s="249">
        <f>Données!L171</f>
        <v>2638.75</v>
      </c>
      <c r="M171" s="249">
        <f>Données!M171</f>
        <v>0</v>
      </c>
      <c r="N171" s="249">
        <f>Données!N171</f>
        <v>2153.8684338672515</v>
      </c>
      <c r="O171" s="249">
        <f>Données!O171</f>
        <v>85176.8</v>
      </c>
      <c r="P171" s="249">
        <f>Données!P171</f>
        <v>32786.870000000003</v>
      </c>
      <c r="Q171" s="249">
        <f>Données!Q171</f>
        <v>3410.5</v>
      </c>
      <c r="R171" s="249">
        <f>Données!R171</f>
        <v>-2408.5</v>
      </c>
      <c r="S171" s="241"/>
      <c r="T171" s="233">
        <f t="shared" si="12"/>
        <v>1155523.9215930263</v>
      </c>
      <c r="U171" s="250">
        <f t="shared" si="13"/>
        <v>85176.8</v>
      </c>
      <c r="V171" s="250">
        <f t="shared" si="14"/>
        <v>33788.870000000003</v>
      </c>
      <c r="W171" s="251">
        <f t="shared" si="15"/>
        <v>1274489.5915930264</v>
      </c>
      <c r="X171" s="233">
        <f t="shared" si="16"/>
        <v>4651.421867127834</v>
      </c>
      <c r="Y171" s="252">
        <f t="shared" si="17"/>
        <v>1.356735712104131</v>
      </c>
    </row>
    <row r="172" spans="1:25" x14ac:dyDescent="0.25">
      <c r="A172" s="108">
        <f>Données!A172</f>
        <v>5702</v>
      </c>
      <c r="B172" s="116" t="str">
        <f>Données!B172</f>
        <v>Arzier-Le Muids</v>
      </c>
      <c r="C172" s="246">
        <f>Données!C172</f>
        <v>2999</v>
      </c>
      <c r="D172" s="247">
        <f>Données!D172</f>
        <v>64</v>
      </c>
      <c r="E172" s="248">
        <f>Données!E172</f>
        <v>1.5</v>
      </c>
      <c r="F172" s="249">
        <f>Données!F172</f>
        <v>9054123.9199999999</v>
      </c>
      <c r="G172" s="249">
        <f>Données!G172</f>
        <v>1796395.29</v>
      </c>
      <c r="H172" s="249">
        <f>Données!H172</f>
        <v>88772.95</v>
      </c>
      <c r="I172" s="249">
        <f>Données!I172</f>
        <v>19319.900000000001</v>
      </c>
      <c r="J172" s="249">
        <f>Données!J172</f>
        <v>301171.25</v>
      </c>
      <c r="K172" s="249">
        <f>Données!K172</f>
        <v>20763.13</v>
      </c>
      <c r="L172" s="249">
        <f>Données!L172</f>
        <v>-128177.78</v>
      </c>
      <c r="M172" s="249">
        <f>Données!M172</f>
        <v>0</v>
      </c>
      <c r="N172" s="249">
        <f>Données!N172</f>
        <v>10277.16099840415</v>
      </c>
      <c r="O172" s="249">
        <f>Données!O172</f>
        <v>1388271.4</v>
      </c>
      <c r="P172" s="249">
        <f>Données!P172</f>
        <v>58153.67</v>
      </c>
      <c r="Q172" s="249">
        <f>Données!Q172</f>
        <v>20086.55</v>
      </c>
      <c r="R172" s="249">
        <f>Données!R172</f>
        <v>-37428.81</v>
      </c>
      <c r="S172" s="241"/>
      <c r="T172" s="233">
        <f t="shared" si="12"/>
        <v>11754990.110188879</v>
      </c>
      <c r="U172" s="250">
        <f t="shared" si="13"/>
        <v>925514.2666666666</v>
      </c>
      <c r="V172" s="250">
        <f t="shared" si="14"/>
        <v>40811.410000000003</v>
      </c>
      <c r="W172" s="251">
        <f t="shared" si="15"/>
        <v>12721315.786855545</v>
      </c>
      <c r="X172" s="233">
        <f t="shared" si="16"/>
        <v>4241.8525464673376</v>
      </c>
      <c r="Y172" s="252">
        <f t="shared" si="17"/>
        <v>1.2372717417751091</v>
      </c>
    </row>
    <row r="173" spans="1:25" x14ac:dyDescent="0.25">
      <c r="A173" s="108">
        <f>Données!A173</f>
        <v>5703</v>
      </c>
      <c r="B173" s="116" t="str">
        <f>Données!B173</f>
        <v>Bassins</v>
      </c>
      <c r="C173" s="246">
        <f>Données!C173</f>
        <v>1468</v>
      </c>
      <c r="D173" s="247">
        <f>Données!D173</f>
        <v>72.5</v>
      </c>
      <c r="E173" s="248">
        <f>Données!E173</f>
        <v>1.4</v>
      </c>
      <c r="F173" s="249">
        <f>Données!F173</f>
        <v>4019188.35</v>
      </c>
      <c r="G173" s="249">
        <f>Données!G173</f>
        <v>585534.96</v>
      </c>
      <c r="H173" s="249">
        <f>Données!H173</f>
        <v>29766.15</v>
      </c>
      <c r="I173" s="249">
        <f>Données!I173</f>
        <v>3025.7</v>
      </c>
      <c r="J173" s="249">
        <f>Données!J173</f>
        <v>0</v>
      </c>
      <c r="K173" s="249">
        <f>Données!K173</f>
        <v>948.47</v>
      </c>
      <c r="L173" s="249">
        <f>Données!L173</f>
        <v>-64507.08</v>
      </c>
      <c r="M173" s="249">
        <f>Données!M173</f>
        <v>0</v>
      </c>
      <c r="N173" s="249">
        <f>Données!N173</f>
        <v>3117.7559097157587</v>
      </c>
      <c r="O173" s="249">
        <f>Données!O173</f>
        <v>509412.1</v>
      </c>
      <c r="P173" s="249">
        <f>Données!P173</f>
        <v>38711.07</v>
      </c>
      <c r="Q173" s="249">
        <f>Données!Q173</f>
        <v>4642.1499999999996</v>
      </c>
      <c r="R173" s="249">
        <f>Données!R173</f>
        <v>-3708.51</v>
      </c>
      <c r="S173" s="241"/>
      <c r="T173" s="233">
        <f t="shared" si="12"/>
        <v>4254857.8288699565</v>
      </c>
      <c r="U173" s="250">
        <f t="shared" si="13"/>
        <v>363865.78571428574</v>
      </c>
      <c r="V173" s="250">
        <f t="shared" si="14"/>
        <v>39644.71</v>
      </c>
      <c r="W173" s="251">
        <f t="shared" si="15"/>
        <v>4658368.324584242</v>
      </c>
      <c r="X173" s="233">
        <f t="shared" si="16"/>
        <v>3173.2754254661049</v>
      </c>
      <c r="Y173" s="252">
        <f t="shared" si="17"/>
        <v>0.92558710369797859</v>
      </c>
    </row>
    <row r="174" spans="1:25" x14ac:dyDescent="0.25">
      <c r="A174" s="108">
        <f>Données!A174</f>
        <v>5704</v>
      </c>
      <c r="B174" s="116" t="str">
        <f>Données!B174</f>
        <v>Begnins</v>
      </c>
      <c r="C174" s="246">
        <f>Données!C174</f>
        <v>2047</v>
      </c>
      <c r="D174" s="247">
        <f>Données!D174</f>
        <v>62.5</v>
      </c>
      <c r="E174" s="248">
        <f>Données!E174</f>
        <v>1.5</v>
      </c>
      <c r="F174" s="249">
        <f>Données!F174</f>
        <v>7459796.4400000004</v>
      </c>
      <c r="G174" s="249">
        <f>Données!G174</f>
        <v>1712334.63</v>
      </c>
      <c r="H174" s="249">
        <f>Données!H174</f>
        <v>38139.449999999997</v>
      </c>
      <c r="I174" s="249">
        <f>Données!I174</f>
        <v>10562.4</v>
      </c>
      <c r="J174" s="249">
        <f>Données!J174</f>
        <v>178674.45</v>
      </c>
      <c r="K174" s="249">
        <f>Données!K174</f>
        <v>16982.03</v>
      </c>
      <c r="L174" s="249">
        <f>Données!L174</f>
        <v>-50985.64</v>
      </c>
      <c r="M174" s="249">
        <f>Données!M174</f>
        <v>0</v>
      </c>
      <c r="N174" s="249">
        <f>Données!N174</f>
        <v>4630.4334964813033</v>
      </c>
      <c r="O174" s="249">
        <f>Données!O174</f>
        <v>891328.55</v>
      </c>
      <c r="P174" s="249">
        <f>Données!P174</f>
        <v>111060.82</v>
      </c>
      <c r="Q174" s="249">
        <f>Données!Q174</f>
        <v>25679.95</v>
      </c>
      <c r="R174" s="249">
        <f>Données!R174</f>
        <v>-18301.02</v>
      </c>
      <c r="S174" s="241"/>
      <c r="T174" s="233">
        <f t="shared" si="12"/>
        <v>10104175.714160779</v>
      </c>
      <c r="U174" s="250">
        <f t="shared" si="13"/>
        <v>594219.03333333333</v>
      </c>
      <c r="V174" s="250">
        <f t="shared" si="14"/>
        <v>118439.75000000001</v>
      </c>
      <c r="W174" s="251">
        <f t="shared" si="15"/>
        <v>10816834.497494113</v>
      </c>
      <c r="X174" s="233">
        <f t="shared" si="16"/>
        <v>5284.2376636512518</v>
      </c>
      <c r="Y174" s="252">
        <f t="shared" si="17"/>
        <v>1.5413166456020186</v>
      </c>
    </row>
    <row r="175" spans="1:25" x14ac:dyDescent="0.25">
      <c r="A175" s="108">
        <f>Données!A175</f>
        <v>5705</v>
      </c>
      <c r="B175" s="116" t="str">
        <f>Données!B175</f>
        <v>Bogis-Bossey</v>
      </c>
      <c r="C175" s="246">
        <f>Données!C175</f>
        <v>961</v>
      </c>
      <c r="D175" s="247">
        <f>Données!D175</f>
        <v>70</v>
      </c>
      <c r="E175" s="248">
        <f>Données!E175</f>
        <v>1</v>
      </c>
      <c r="F175" s="249">
        <f>Données!F175</f>
        <v>3316905.9</v>
      </c>
      <c r="G175" s="249">
        <f>Données!G175</f>
        <v>504258.26</v>
      </c>
      <c r="H175" s="249">
        <f>Données!H175</f>
        <v>74184.100000000006</v>
      </c>
      <c r="I175" s="249">
        <f>Données!I175</f>
        <v>2625.9</v>
      </c>
      <c r="J175" s="249">
        <f>Données!J175</f>
        <v>0</v>
      </c>
      <c r="K175" s="249">
        <f>Données!K175</f>
        <v>455.49</v>
      </c>
      <c r="L175" s="249">
        <f>Données!L175</f>
        <v>-1329.12</v>
      </c>
      <c r="M175" s="249">
        <f>Données!M175</f>
        <v>0</v>
      </c>
      <c r="N175" s="249">
        <f>Données!N175</f>
        <v>7302.8765203935563</v>
      </c>
      <c r="O175" s="249">
        <f>Données!O175</f>
        <v>272103.40000000002</v>
      </c>
      <c r="P175" s="249">
        <f>Données!P175</f>
        <v>6101.23</v>
      </c>
      <c r="Q175" s="249">
        <f>Données!Q175</f>
        <v>9444.4500000000007</v>
      </c>
      <c r="R175" s="249">
        <f>Données!R175</f>
        <v>-15387.54</v>
      </c>
      <c r="S175" s="241"/>
      <c r="T175" s="233">
        <f t="shared" si="12"/>
        <v>3759168.0408444828</v>
      </c>
      <c r="U175" s="250">
        <f t="shared" si="13"/>
        <v>272103.40000000002</v>
      </c>
      <c r="V175" s="250">
        <f t="shared" si="14"/>
        <v>158.13999999999942</v>
      </c>
      <c r="W175" s="251">
        <f t="shared" si="15"/>
        <v>4031429.5808444829</v>
      </c>
      <c r="X175" s="233">
        <f t="shared" si="16"/>
        <v>4195.0359842294311</v>
      </c>
      <c r="Y175" s="252">
        <f t="shared" si="17"/>
        <v>1.223616196498728</v>
      </c>
    </row>
    <row r="176" spans="1:25" x14ac:dyDescent="0.25">
      <c r="A176" s="108">
        <f>Données!A176</f>
        <v>5706</v>
      </c>
      <c r="B176" s="116" t="str">
        <f>Données!B176</f>
        <v>Borex</v>
      </c>
      <c r="C176" s="246">
        <f>Données!C176</f>
        <v>1168</v>
      </c>
      <c r="D176" s="247">
        <f>Données!D176</f>
        <v>57</v>
      </c>
      <c r="E176" s="248">
        <f>Données!E176</f>
        <v>1.5</v>
      </c>
      <c r="F176" s="249">
        <f>Données!F176</f>
        <v>3518609.6</v>
      </c>
      <c r="G176" s="249">
        <f>Données!G176</f>
        <v>702111.41</v>
      </c>
      <c r="H176" s="249">
        <f>Données!H176</f>
        <v>41901.1</v>
      </c>
      <c r="I176" s="249">
        <f>Données!I176</f>
        <v>3022.55</v>
      </c>
      <c r="J176" s="249">
        <f>Données!J176</f>
        <v>51492.5</v>
      </c>
      <c r="K176" s="249">
        <f>Données!K176</f>
        <v>104.14</v>
      </c>
      <c r="L176" s="249">
        <f>Données!L176</f>
        <v>-15825.99</v>
      </c>
      <c r="M176" s="249">
        <f>Données!M176</f>
        <v>0</v>
      </c>
      <c r="N176" s="249">
        <f>Données!N176</f>
        <v>4271.212977416717</v>
      </c>
      <c r="O176" s="249">
        <f>Données!O176</f>
        <v>458329.95</v>
      </c>
      <c r="P176" s="249">
        <f>Données!P176</f>
        <v>4707.58</v>
      </c>
      <c r="Q176" s="249">
        <f>Données!Q176</f>
        <v>11042.75</v>
      </c>
      <c r="R176" s="249">
        <f>Données!R176</f>
        <v>-46287.5</v>
      </c>
      <c r="S176" s="241"/>
      <c r="T176" s="233">
        <f t="shared" si="12"/>
        <v>5090994.7456854442</v>
      </c>
      <c r="U176" s="250">
        <f t="shared" si="13"/>
        <v>305553.3</v>
      </c>
      <c r="V176" s="250">
        <f t="shared" si="14"/>
        <v>-30537.17</v>
      </c>
      <c r="W176" s="251">
        <f t="shared" si="15"/>
        <v>5366010.8756854441</v>
      </c>
      <c r="X176" s="233">
        <f t="shared" si="16"/>
        <v>4594.1873935663052</v>
      </c>
      <c r="Y176" s="252">
        <f t="shared" si="17"/>
        <v>1.3400414503358786</v>
      </c>
    </row>
    <row r="177" spans="1:25" x14ac:dyDescent="0.25">
      <c r="A177" s="108">
        <f>Données!A177</f>
        <v>5707</v>
      </c>
      <c r="B177" s="116" t="str">
        <f>Données!B177</f>
        <v>Chavannes-de-Bogis</v>
      </c>
      <c r="C177" s="246">
        <f>Données!C177</f>
        <v>1423</v>
      </c>
      <c r="D177" s="247">
        <f>Données!D177</f>
        <v>58</v>
      </c>
      <c r="E177" s="248">
        <f>Données!E177</f>
        <v>1.5</v>
      </c>
      <c r="F177" s="249">
        <f>Données!F177</f>
        <v>3507789.35</v>
      </c>
      <c r="G177" s="249">
        <f>Données!G177</f>
        <v>626654.16</v>
      </c>
      <c r="H177" s="249">
        <f>Données!H177</f>
        <v>160597</v>
      </c>
      <c r="I177" s="249">
        <f>Données!I177</f>
        <v>42223.6</v>
      </c>
      <c r="J177" s="249">
        <f>Données!J177</f>
        <v>34636.15</v>
      </c>
      <c r="K177" s="249">
        <f>Données!K177</f>
        <v>50147.81</v>
      </c>
      <c r="L177" s="249">
        <f>Données!L177</f>
        <v>-68646.61</v>
      </c>
      <c r="M177" s="249">
        <f>Données!M177</f>
        <v>0</v>
      </c>
      <c r="N177" s="249">
        <f>Données!N177</f>
        <v>19283.606269914508</v>
      </c>
      <c r="O177" s="249">
        <f>Données!O177</f>
        <v>790817.6</v>
      </c>
      <c r="P177" s="249">
        <f>Données!P177</f>
        <v>65404.2</v>
      </c>
      <c r="Q177" s="249">
        <f>Données!Q177</f>
        <v>57098.45</v>
      </c>
      <c r="R177" s="249">
        <f>Données!R177</f>
        <v>-2532.9899999999998</v>
      </c>
      <c r="S177" s="241"/>
      <c r="T177" s="233">
        <f t="shared" si="12"/>
        <v>5081071.4563283185</v>
      </c>
      <c r="U177" s="250">
        <f t="shared" si="13"/>
        <v>527211.73333333328</v>
      </c>
      <c r="V177" s="250">
        <f t="shared" si="14"/>
        <v>119969.65999999999</v>
      </c>
      <c r="W177" s="251">
        <f t="shared" si="15"/>
        <v>5728252.849661652</v>
      </c>
      <c r="X177" s="233">
        <f t="shared" si="16"/>
        <v>4025.4763525380549</v>
      </c>
      <c r="Y177" s="252">
        <f t="shared" si="17"/>
        <v>1.1741587157071687</v>
      </c>
    </row>
    <row r="178" spans="1:25" x14ac:dyDescent="0.25">
      <c r="A178" s="108">
        <f>Données!A178</f>
        <v>5708</v>
      </c>
      <c r="B178" s="116" t="str">
        <f>Données!B178</f>
        <v>Chavannes-des-Bois</v>
      </c>
      <c r="C178" s="246">
        <f>Données!C178</f>
        <v>983</v>
      </c>
      <c r="D178" s="247">
        <f>Données!D178</f>
        <v>66</v>
      </c>
      <c r="E178" s="248">
        <f>Données!E178</f>
        <v>1.5</v>
      </c>
      <c r="F178" s="249">
        <f>Données!F178</f>
        <v>3455574.51</v>
      </c>
      <c r="G178" s="249">
        <f>Données!G178</f>
        <v>792859.76</v>
      </c>
      <c r="H178" s="249">
        <f>Données!H178</f>
        <v>46925.5</v>
      </c>
      <c r="I178" s="249">
        <f>Données!I178</f>
        <v>1072.9000000000001</v>
      </c>
      <c r="J178" s="249">
        <f>Données!J178</f>
        <v>0</v>
      </c>
      <c r="K178" s="249">
        <f>Données!K178</f>
        <v>0</v>
      </c>
      <c r="L178" s="249">
        <f>Données!L178</f>
        <v>-4669.21</v>
      </c>
      <c r="M178" s="249">
        <f>Données!M178</f>
        <v>0</v>
      </c>
      <c r="N178" s="249">
        <f>Données!N178</f>
        <v>4563.5514695541997</v>
      </c>
      <c r="O178" s="249">
        <f>Données!O178</f>
        <v>462982.05</v>
      </c>
      <c r="P178" s="249">
        <f>Données!P178</f>
        <v>2384.79</v>
      </c>
      <c r="Q178" s="249">
        <f>Données!Q178</f>
        <v>13715.8</v>
      </c>
      <c r="R178" s="249">
        <f>Données!R178</f>
        <v>-10384.57</v>
      </c>
      <c r="S178" s="241"/>
      <c r="T178" s="233">
        <f t="shared" si="12"/>
        <v>4387210.6886373311</v>
      </c>
      <c r="U178" s="250">
        <f t="shared" si="13"/>
        <v>308654.7</v>
      </c>
      <c r="V178" s="250">
        <f t="shared" si="14"/>
        <v>5716.02</v>
      </c>
      <c r="W178" s="251">
        <f t="shared" si="15"/>
        <v>4701581.4086373309</v>
      </c>
      <c r="X178" s="233">
        <f t="shared" si="16"/>
        <v>4782.8905479525238</v>
      </c>
      <c r="Y178" s="252">
        <f t="shared" si="17"/>
        <v>1.3950827507932311</v>
      </c>
    </row>
    <row r="179" spans="1:25" x14ac:dyDescent="0.25">
      <c r="A179" s="108">
        <f>Données!A179</f>
        <v>5709</v>
      </c>
      <c r="B179" s="116" t="str">
        <f>Données!B179</f>
        <v>Chéserex</v>
      </c>
      <c r="C179" s="246">
        <f>Données!C179</f>
        <v>1272</v>
      </c>
      <c r="D179" s="247">
        <f>Données!D179</f>
        <v>59</v>
      </c>
      <c r="E179" s="248">
        <f>Données!E179</f>
        <v>1</v>
      </c>
      <c r="F179" s="249">
        <f>Données!F179</f>
        <v>5077754.0599999996</v>
      </c>
      <c r="G179" s="249">
        <f>Données!G179</f>
        <v>1022136.39</v>
      </c>
      <c r="H179" s="249">
        <f>Données!H179</f>
        <v>12126.25</v>
      </c>
      <c r="I179" s="249">
        <f>Données!I179</f>
        <v>13991.45</v>
      </c>
      <c r="J179" s="249">
        <f>Données!J179</f>
        <v>618015.19999999995</v>
      </c>
      <c r="K179" s="249">
        <f>Données!K179</f>
        <v>5562.75</v>
      </c>
      <c r="L179" s="249">
        <f>Données!L179</f>
        <v>-11909.49</v>
      </c>
      <c r="M179" s="249">
        <f>Données!M179</f>
        <v>0</v>
      </c>
      <c r="N179" s="249">
        <f>Données!N179</f>
        <v>2483.1966943976408</v>
      </c>
      <c r="O179" s="249">
        <f>Données!O179</f>
        <v>428184.5</v>
      </c>
      <c r="P179" s="249">
        <f>Données!P179</f>
        <v>70952.41</v>
      </c>
      <c r="Q179" s="249">
        <f>Données!Q179</f>
        <v>12092.85</v>
      </c>
      <c r="R179" s="249">
        <f>Données!R179</f>
        <v>-8150.1</v>
      </c>
      <c r="S179" s="241"/>
      <c r="T179" s="233">
        <f t="shared" si="12"/>
        <v>7699336.1077069258</v>
      </c>
      <c r="U179" s="250">
        <f t="shared" si="13"/>
        <v>428184.5</v>
      </c>
      <c r="V179" s="250">
        <f t="shared" si="14"/>
        <v>74895.16</v>
      </c>
      <c r="W179" s="251">
        <f t="shared" si="15"/>
        <v>8202415.767706926</v>
      </c>
      <c r="X179" s="233">
        <f t="shared" si="16"/>
        <v>6448.4400689519862</v>
      </c>
      <c r="Y179" s="252">
        <f t="shared" si="17"/>
        <v>1.8808934512561475</v>
      </c>
    </row>
    <row r="180" spans="1:25" x14ac:dyDescent="0.25">
      <c r="A180" s="108">
        <f>Données!A180</f>
        <v>5710</v>
      </c>
      <c r="B180" s="116" t="str">
        <f>Données!B180</f>
        <v>Coinsins</v>
      </c>
      <c r="C180" s="246">
        <f>Données!C180</f>
        <v>510</v>
      </c>
      <c r="D180" s="247">
        <f>Données!D180</f>
        <v>49</v>
      </c>
      <c r="E180" s="248">
        <f>Données!E180</f>
        <v>1</v>
      </c>
      <c r="F180" s="249">
        <f>Données!F180</f>
        <v>1060830.3799999999</v>
      </c>
      <c r="G180" s="249">
        <f>Données!G180</f>
        <v>217330.25</v>
      </c>
      <c r="H180" s="249">
        <f>Données!H180</f>
        <v>-9663.9</v>
      </c>
      <c r="I180" s="249">
        <f>Données!I180</f>
        <v>1094.9000000000001</v>
      </c>
      <c r="J180" s="249">
        <f>Données!J180</f>
        <v>0</v>
      </c>
      <c r="K180" s="249">
        <f>Données!K180</f>
        <v>35.630000000000003</v>
      </c>
      <c r="L180" s="249">
        <f>Données!L180</f>
        <v>-244.42</v>
      </c>
      <c r="M180" s="249">
        <f>Données!M180</f>
        <v>0</v>
      </c>
      <c r="N180" s="249">
        <f>Données!N180</f>
        <v>-814.71616850999067</v>
      </c>
      <c r="O180" s="249">
        <f>Données!O180</f>
        <v>137509.29999999999</v>
      </c>
      <c r="P180" s="249">
        <f>Données!P180</f>
        <v>7234.83</v>
      </c>
      <c r="Q180" s="249">
        <f>Données!Q180</f>
        <v>6690.85</v>
      </c>
      <c r="R180" s="249">
        <f>Données!R180</f>
        <v>-1626.24</v>
      </c>
      <c r="S180" s="241"/>
      <c r="T180" s="233">
        <f t="shared" si="12"/>
        <v>1744828.7602576776</v>
      </c>
      <c r="U180" s="250">
        <f t="shared" si="13"/>
        <v>137509.29999999999</v>
      </c>
      <c r="V180" s="250">
        <f t="shared" si="14"/>
        <v>12299.44</v>
      </c>
      <c r="W180" s="251">
        <f t="shared" si="15"/>
        <v>1894637.5002576776</v>
      </c>
      <c r="X180" s="233">
        <f t="shared" si="16"/>
        <v>3714.9754907013289</v>
      </c>
      <c r="Y180" s="252">
        <f t="shared" si="17"/>
        <v>1.0835912247491573</v>
      </c>
    </row>
    <row r="181" spans="1:25" x14ac:dyDescent="0.25">
      <c r="A181" s="108">
        <f>Données!A181</f>
        <v>5711</v>
      </c>
      <c r="B181" s="116" t="str">
        <f>Données!B181</f>
        <v>Commugny</v>
      </c>
      <c r="C181" s="246">
        <f>Données!C181</f>
        <v>2968</v>
      </c>
      <c r="D181" s="247">
        <f>Données!D181</f>
        <v>57</v>
      </c>
      <c r="E181" s="248">
        <f>Données!E181</f>
        <v>1.3</v>
      </c>
      <c r="F181" s="249">
        <f>Données!F181</f>
        <v>13315497.300000001</v>
      </c>
      <c r="G181" s="249">
        <f>Données!G181</f>
        <v>2862968.97</v>
      </c>
      <c r="H181" s="249">
        <f>Données!H181</f>
        <v>151176.5</v>
      </c>
      <c r="I181" s="249">
        <f>Données!I181</f>
        <v>9251.9</v>
      </c>
      <c r="J181" s="249">
        <f>Données!J181</f>
        <v>232797.85</v>
      </c>
      <c r="K181" s="249">
        <f>Données!K181</f>
        <v>15149.91</v>
      </c>
      <c r="L181" s="249">
        <f>Données!L181</f>
        <v>-110940.82</v>
      </c>
      <c r="M181" s="249">
        <f>Données!M181</f>
        <v>0</v>
      </c>
      <c r="N181" s="249">
        <f>Données!N181</f>
        <v>15253.076364591923</v>
      </c>
      <c r="O181" s="249">
        <f>Données!O181</f>
        <v>1365195.1</v>
      </c>
      <c r="P181" s="249">
        <f>Données!P181</f>
        <v>8049.34</v>
      </c>
      <c r="Q181" s="249">
        <f>Données!Q181</f>
        <v>13907.1</v>
      </c>
      <c r="R181" s="249">
        <f>Données!R181</f>
        <v>-51117.56</v>
      </c>
      <c r="S181" s="241"/>
      <c r="T181" s="233">
        <f t="shared" si="12"/>
        <v>19498953.630398419</v>
      </c>
      <c r="U181" s="250">
        <f t="shared" si="13"/>
        <v>1050150.076923077</v>
      </c>
      <c r="V181" s="250">
        <f t="shared" si="14"/>
        <v>-29161.119999999995</v>
      </c>
      <c r="W181" s="251">
        <f t="shared" si="15"/>
        <v>20519942.587321494</v>
      </c>
      <c r="X181" s="233">
        <f t="shared" si="16"/>
        <v>6913.7272868333876</v>
      </c>
      <c r="Y181" s="252">
        <f t="shared" si="17"/>
        <v>2.0166093254378783</v>
      </c>
    </row>
    <row r="182" spans="1:25" x14ac:dyDescent="0.25">
      <c r="A182" s="108">
        <f>Données!A182</f>
        <v>5712</v>
      </c>
      <c r="B182" s="116" t="str">
        <f>Données!B182</f>
        <v>Coppet</v>
      </c>
      <c r="C182" s="246">
        <f>Données!C182</f>
        <v>3233</v>
      </c>
      <c r="D182" s="247">
        <f>Données!D182</f>
        <v>57</v>
      </c>
      <c r="E182" s="248">
        <f>Données!E182</f>
        <v>1.5</v>
      </c>
      <c r="F182" s="249">
        <f>Données!F182</f>
        <v>15746939.5</v>
      </c>
      <c r="G182" s="249">
        <f>Données!G182</f>
        <v>7104808.2400000002</v>
      </c>
      <c r="H182" s="249">
        <f>Données!H182</f>
        <v>259664.55</v>
      </c>
      <c r="I182" s="249">
        <f>Données!I182</f>
        <v>95746.45</v>
      </c>
      <c r="J182" s="249">
        <f>Données!J182</f>
        <v>806524.93</v>
      </c>
      <c r="K182" s="249">
        <f>Données!K182</f>
        <v>14150.12</v>
      </c>
      <c r="L182" s="249">
        <f>Données!L182</f>
        <v>-49863.08</v>
      </c>
      <c r="M182" s="249">
        <f>Données!M182</f>
        <v>0</v>
      </c>
      <c r="N182" s="249">
        <f>Données!N182</f>
        <v>33791.467868631611</v>
      </c>
      <c r="O182" s="249">
        <f>Données!O182</f>
        <v>1998419.8</v>
      </c>
      <c r="P182" s="249">
        <f>Données!P182</f>
        <v>195335.46</v>
      </c>
      <c r="Q182" s="249">
        <f>Données!Q182</f>
        <v>49852.5</v>
      </c>
      <c r="R182" s="249">
        <f>Données!R182</f>
        <v>-112918.19</v>
      </c>
      <c r="S182" s="241"/>
      <c r="T182" s="233">
        <f t="shared" si="12"/>
        <v>28391234.34319254</v>
      </c>
      <c r="U182" s="250">
        <f t="shared" si="13"/>
        <v>1332279.8666666667</v>
      </c>
      <c r="V182" s="250">
        <f t="shared" si="14"/>
        <v>132269.76999999999</v>
      </c>
      <c r="W182" s="251">
        <f t="shared" si="15"/>
        <v>29855783.979859207</v>
      </c>
      <c r="X182" s="233">
        <f t="shared" si="16"/>
        <v>9234.6996535289836</v>
      </c>
      <c r="Y182" s="252">
        <f t="shared" si="17"/>
        <v>2.6935950271556148</v>
      </c>
    </row>
    <row r="183" spans="1:25" x14ac:dyDescent="0.25">
      <c r="A183" s="108">
        <f>Données!A183</f>
        <v>5713</v>
      </c>
      <c r="B183" s="116" t="str">
        <f>Données!B183</f>
        <v>Crans</v>
      </c>
      <c r="C183" s="246">
        <f>Données!C183</f>
        <v>2483</v>
      </c>
      <c r="D183" s="247">
        <f>Données!D183</f>
        <v>59</v>
      </c>
      <c r="E183" s="248">
        <f>Données!E183</f>
        <v>1</v>
      </c>
      <c r="F183" s="249">
        <f>Données!F183</f>
        <v>11067692.75</v>
      </c>
      <c r="G183" s="249">
        <f>Données!G183</f>
        <v>5006858.37</v>
      </c>
      <c r="H183" s="249">
        <f>Données!H183</f>
        <v>108709.15</v>
      </c>
      <c r="I183" s="249">
        <f>Données!I183</f>
        <v>37798.800000000003</v>
      </c>
      <c r="J183" s="249">
        <f>Données!J183</f>
        <v>398694.9</v>
      </c>
      <c r="K183" s="249">
        <f>Données!K183</f>
        <v>532.91</v>
      </c>
      <c r="L183" s="249">
        <f>Données!L183</f>
        <v>-58390.27</v>
      </c>
      <c r="M183" s="249">
        <f>Données!M183</f>
        <v>0</v>
      </c>
      <c r="N183" s="249">
        <f>Données!N183</f>
        <v>13929.559537898624</v>
      </c>
      <c r="O183" s="249">
        <f>Données!O183</f>
        <v>986191.45</v>
      </c>
      <c r="P183" s="249">
        <f>Données!P183</f>
        <v>427132.32</v>
      </c>
      <c r="Q183" s="249">
        <f>Données!Q183</f>
        <v>62429.25</v>
      </c>
      <c r="R183" s="249">
        <f>Données!R183</f>
        <v>-76471.81</v>
      </c>
      <c r="S183" s="241"/>
      <c r="T183" s="233">
        <f t="shared" si="12"/>
        <v>18934693.034346189</v>
      </c>
      <c r="U183" s="250">
        <f t="shared" si="13"/>
        <v>986191.45</v>
      </c>
      <c r="V183" s="250">
        <f t="shared" si="14"/>
        <v>413089.76</v>
      </c>
      <c r="W183" s="251">
        <f t="shared" si="15"/>
        <v>20333974.24434619</v>
      </c>
      <c r="X183" s="233">
        <f t="shared" si="16"/>
        <v>8189.2767798413979</v>
      </c>
      <c r="Y183" s="252">
        <f t="shared" si="17"/>
        <v>2.3886640646458037</v>
      </c>
    </row>
    <row r="184" spans="1:25" x14ac:dyDescent="0.25">
      <c r="A184" s="108">
        <f>Données!A184</f>
        <v>5714</v>
      </c>
      <c r="B184" s="116" t="str">
        <f>Données!B184</f>
        <v>Crassier</v>
      </c>
      <c r="C184" s="246">
        <f>Données!C184</f>
        <v>1272</v>
      </c>
      <c r="D184" s="247">
        <f>Données!D184</f>
        <v>65</v>
      </c>
      <c r="E184" s="248">
        <f>Données!E184</f>
        <v>1</v>
      </c>
      <c r="F184" s="249">
        <f>Données!F184</f>
        <v>3359200.33</v>
      </c>
      <c r="G184" s="249">
        <f>Données!G184</f>
        <v>498588.64</v>
      </c>
      <c r="H184" s="249">
        <f>Données!H184</f>
        <v>80653.149999999994</v>
      </c>
      <c r="I184" s="249">
        <f>Données!I184</f>
        <v>6147</v>
      </c>
      <c r="J184" s="249">
        <f>Données!J184</f>
        <v>120918.15</v>
      </c>
      <c r="K184" s="249">
        <f>Données!K184</f>
        <v>0</v>
      </c>
      <c r="L184" s="249">
        <f>Données!L184</f>
        <v>-4684.34</v>
      </c>
      <c r="M184" s="249">
        <f>Données!M184</f>
        <v>0</v>
      </c>
      <c r="N184" s="249">
        <f>Données!N184</f>
        <v>8252.7115922619287</v>
      </c>
      <c r="O184" s="249">
        <f>Données!O184</f>
        <v>325823.59999999998</v>
      </c>
      <c r="P184" s="249">
        <f>Données!P184</f>
        <v>6459.08</v>
      </c>
      <c r="Q184" s="249">
        <f>Données!Q184</f>
        <v>8048.3</v>
      </c>
      <c r="R184" s="249">
        <f>Données!R184</f>
        <v>-6101.95</v>
      </c>
      <c r="S184" s="241"/>
      <c r="T184" s="233">
        <f t="shared" si="12"/>
        <v>4219077.5036108606</v>
      </c>
      <c r="U184" s="250">
        <f t="shared" si="13"/>
        <v>325823.59999999998</v>
      </c>
      <c r="V184" s="250">
        <f t="shared" si="14"/>
        <v>8405.43</v>
      </c>
      <c r="W184" s="251">
        <f t="shared" si="15"/>
        <v>4553306.5336108599</v>
      </c>
      <c r="X184" s="233">
        <f t="shared" si="16"/>
        <v>3579.6435012663992</v>
      </c>
      <c r="Y184" s="252">
        <f t="shared" si="17"/>
        <v>1.0441173287445698</v>
      </c>
    </row>
    <row r="185" spans="1:25" x14ac:dyDescent="0.25">
      <c r="A185" s="108">
        <f>Données!A185</f>
        <v>5715</v>
      </c>
      <c r="B185" s="116" t="str">
        <f>Données!B185</f>
        <v>Duillier</v>
      </c>
      <c r="C185" s="246">
        <f>Données!C185</f>
        <v>1120</v>
      </c>
      <c r="D185" s="247">
        <f>Données!D185</f>
        <v>66</v>
      </c>
      <c r="E185" s="248">
        <f>Données!E185</f>
        <v>1</v>
      </c>
      <c r="F185" s="249">
        <f>Données!F185</f>
        <v>4323709.66</v>
      </c>
      <c r="G185" s="249">
        <f>Données!G185</f>
        <v>633384.23</v>
      </c>
      <c r="H185" s="249">
        <f>Données!H185</f>
        <v>74493</v>
      </c>
      <c r="I185" s="249">
        <f>Données!I185</f>
        <v>17233.150000000001</v>
      </c>
      <c r="J185" s="249">
        <f>Données!J185</f>
        <v>0</v>
      </c>
      <c r="K185" s="249">
        <f>Données!K185</f>
        <v>6725.25</v>
      </c>
      <c r="L185" s="249">
        <f>Données!L185</f>
        <v>-2830.59</v>
      </c>
      <c r="M185" s="249">
        <f>Données!M185</f>
        <v>0</v>
      </c>
      <c r="N185" s="249">
        <f>Données!N185</f>
        <v>8721.0616734943032</v>
      </c>
      <c r="O185" s="249">
        <f>Données!O185</f>
        <v>310426.59999999998</v>
      </c>
      <c r="P185" s="249">
        <f>Données!P185</f>
        <v>12152.28</v>
      </c>
      <c r="Q185" s="249">
        <f>Données!Q185</f>
        <v>8374</v>
      </c>
      <c r="R185" s="249">
        <f>Données!R185</f>
        <v>-4249.5</v>
      </c>
      <c r="S185" s="241"/>
      <c r="T185" s="233">
        <f t="shared" si="12"/>
        <v>5168504.4025244704</v>
      </c>
      <c r="U185" s="250">
        <f t="shared" si="13"/>
        <v>310426.59999999998</v>
      </c>
      <c r="V185" s="250">
        <f t="shared" si="14"/>
        <v>16276.779999999999</v>
      </c>
      <c r="W185" s="251">
        <f t="shared" si="15"/>
        <v>5495207.7825244702</v>
      </c>
      <c r="X185" s="233">
        <f t="shared" si="16"/>
        <v>4906.4355201111339</v>
      </c>
      <c r="Y185" s="252">
        <f t="shared" si="17"/>
        <v>1.4311185868379193</v>
      </c>
    </row>
    <row r="186" spans="1:25" x14ac:dyDescent="0.25">
      <c r="A186" s="108">
        <f>Données!A186</f>
        <v>5716</v>
      </c>
      <c r="B186" s="116" t="str">
        <f>Données!B186</f>
        <v>Eysins</v>
      </c>
      <c r="C186" s="246">
        <f>Données!C186</f>
        <v>1811</v>
      </c>
      <c r="D186" s="247">
        <f>Données!D186</f>
        <v>59.5</v>
      </c>
      <c r="E186" s="248">
        <f>Données!E186</f>
        <v>1</v>
      </c>
      <c r="F186" s="249">
        <f>Données!F186</f>
        <v>5396434.1500000004</v>
      </c>
      <c r="G186" s="249">
        <f>Données!G186</f>
        <v>1519608.33</v>
      </c>
      <c r="H186" s="249">
        <f>Données!H186</f>
        <v>12515705.050000001</v>
      </c>
      <c r="I186" s="249">
        <f>Données!I186</f>
        <v>872360.05</v>
      </c>
      <c r="J186" s="249">
        <f>Données!J186</f>
        <v>0</v>
      </c>
      <c r="K186" s="249">
        <f>Données!K186</f>
        <v>13078.13</v>
      </c>
      <c r="L186" s="249">
        <f>Données!L186</f>
        <v>-20286.23</v>
      </c>
      <c r="M186" s="249">
        <f>Données!M186</f>
        <v>0</v>
      </c>
      <c r="N186" s="249">
        <f>Données!N186</f>
        <v>1272899.1833392843</v>
      </c>
      <c r="O186" s="249">
        <f>Données!O186</f>
        <v>722205.25</v>
      </c>
      <c r="P186" s="249">
        <f>Données!P186</f>
        <v>274168.94</v>
      </c>
      <c r="Q186" s="249">
        <f>Données!Q186</f>
        <v>92523.5</v>
      </c>
      <c r="R186" s="249">
        <f>Données!R186</f>
        <v>-39592.75</v>
      </c>
      <c r="S186" s="241"/>
      <c r="T186" s="233">
        <f t="shared" si="12"/>
        <v>24432292.688772622</v>
      </c>
      <c r="U186" s="250">
        <f t="shared" si="13"/>
        <v>722205.25</v>
      </c>
      <c r="V186" s="250">
        <f t="shared" si="14"/>
        <v>327099.69</v>
      </c>
      <c r="W186" s="251">
        <f t="shared" si="15"/>
        <v>25481597.628772624</v>
      </c>
      <c r="X186" s="233">
        <f t="shared" si="16"/>
        <v>14070.457000978809</v>
      </c>
      <c r="Y186" s="252">
        <f t="shared" si="17"/>
        <v>4.1040980681120613</v>
      </c>
    </row>
    <row r="187" spans="1:25" x14ac:dyDescent="0.25">
      <c r="A187" s="108">
        <f>Données!A187</f>
        <v>5717</v>
      </c>
      <c r="B187" s="116" t="str">
        <f>Données!B187</f>
        <v>Founex</v>
      </c>
      <c r="C187" s="246">
        <f>Données!C187</f>
        <v>3737</v>
      </c>
      <c r="D187" s="247">
        <f>Données!D187</f>
        <v>57</v>
      </c>
      <c r="E187" s="248">
        <f>Données!E187</f>
        <v>1</v>
      </c>
      <c r="F187" s="249">
        <f>Données!F187</f>
        <v>16346021.23</v>
      </c>
      <c r="G187" s="249">
        <f>Données!G187</f>
        <v>4488425.53</v>
      </c>
      <c r="H187" s="249">
        <f>Données!H187</f>
        <v>140831.4</v>
      </c>
      <c r="I187" s="249">
        <f>Données!I187</f>
        <v>43909.65</v>
      </c>
      <c r="J187" s="249">
        <f>Données!J187</f>
        <v>1306360.96</v>
      </c>
      <c r="K187" s="249">
        <f>Données!K187</f>
        <v>26156.87</v>
      </c>
      <c r="L187" s="249">
        <f>Données!L187</f>
        <v>-56575.43</v>
      </c>
      <c r="M187" s="249">
        <f>Données!M187</f>
        <v>0</v>
      </c>
      <c r="N187" s="249">
        <f>Données!N187</f>
        <v>17564.654034602943</v>
      </c>
      <c r="O187" s="249">
        <f>Données!O187</f>
        <v>1545554.55</v>
      </c>
      <c r="P187" s="249">
        <f>Données!P187</f>
        <v>188862.99</v>
      </c>
      <c r="Q187" s="249">
        <f>Données!Q187</f>
        <v>103661.5</v>
      </c>
      <c r="R187" s="249">
        <f>Données!R187</f>
        <v>-148410.76</v>
      </c>
      <c r="S187" s="241"/>
      <c r="T187" s="233">
        <f t="shared" si="12"/>
        <v>26382276.486847386</v>
      </c>
      <c r="U187" s="250">
        <f t="shared" si="13"/>
        <v>1545554.55</v>
      </c>
      <c r="V187" s="250">
        <f t="shared" si="14"/>
        <v>144113.72999999998</v>
      </c>
      <c r="W187" s="251">
        <f t="shared" si="15"/>
        <v>28071944.766847387</v>
      </c>
      <c r="X187" s="233">
        <f t="shared" si="16"/>
        <v>7511.8931674732103</v>
      </c>
      <c r="Y187" s="252">
        <f t="shared" si="17"/>
        <v>2.1910835045618167</v>
      </c>
    </row>
    <row r="188" spans="1:25" x14ac:dyDescent="0.25">
      <c r="A188" s="108">
        <f>Données!A188</f>
        <v>5718</v>
      </c>
      <c r="B188" s="116" t="str">
        <f>Données!B188</f>
        <v>Genolier</v>
      </c>
      <c r="C188" s="246">
        <f>Données!C188</f>
        <v>2071</v>
      </c>
      <c r="D188" s="247">
        <f>Données!D188</f>
        <v>52</v>
      </c>
      <c r="E188" s="248">
        <f>Données!E188</f>
        <v>1</v>
      </c>
      <c r="F188" s="249">
        <f>Données!F188</f>
        <v>7700594.3499999996</v>
      </c>
      <c r="G188" s="249">
        <f>Données!G188</f>
        <v>2034240.9</v>
      </c>
      <c r="H188" s="249">
        <f>Données!H188</f>
        <v>195703.75</v>
      </c>
      <c r="I188" s="249">
        <f>Données!I188</f>
        <v>50600.95</v>
      </c>
      <c r="J188" s="249">
        <f>Données!J188</f>
        <v>653939.36</v>
      </c>
      <c r="K188" s="249">
        <f>Données!K188</f>
        <v>8603.9699999999993</v>
      </c>
      <c r="L188" s="249">
        <f>Données!L188</f>
        <v>-15699.13</v>
      </c>
      <c r="M188" s="249">
        <f>Données!M188</f>
        <v>0</v>
      </c>
      <c r="N188" s="249">
        <f>Données!N188</f>
        <v>23417.95092426219</v>
      </c>
      <c r="O188" s="249">
        <f>Données!O188</f>
        <v>764831.05</v>
      </c>
      <c r="P188" s="249">
        <f>Données!P188</f>
        <v>141728.22</v>
      </c>
      <c r="Q188" s="249">
        <f>Données!Q188</f>
        <v>49101.2</v>
      </c>
      <c r="R188" s="249">
        <f>Données!R188</f>
        <v>-27376.47</v>
      </c>
      <c r="S188" s="241"/>
      <c r="T188" s="233">
        <f t="shared" si="12"/>
        <v>13805067.46009334</v>
      </c>
      <c r="U188" s="250">
        <f t="shared" si="13"/>
        <v>764831.05</v>
      </c>
      <c r="V188" s="250">
        <f t="shared" si="14"/>
        <v>163452.94999999998</v>
      </c>
      <c r="W188" s="251">
        <f t="shared" si="15"/>
        <v>14733351.46009334</v>
      </c>
      <c r="X188" s="233">
        <f t="shared" si="16"/>
        <v>7114.1243168002611</v>
      </c>
      <c r="Y188" s="252">
        <f t="shared" si="17"/>
        <v>2.0750615181054819</v>
      </c>
    </row>
    <row r="189" spans="1:25" x14ac:dyDescent="0.25">
      <c r="A189" s="108">
        <f>Données!A189</f>
        <v>5719</v>
      </c>
      <c r="B189" s="116" t="str">
        <f>Données!B189</f>
        <v>Gingins</v>
      </c>
      <c r="C189" s="246">
        <f>Données!C189</f>
        <v>1241</v>
      </c>
      <c r="D189" s="247">
        <f>Données!D189</f>
        <v>60</v>
      </c>
      <c r="E189" s="248">
        <f>Données!E189</f>
        <v>0.6</v>
      </c>
      <c r="F189" s="249">
        <f>Données!F189</f>
        <v>5796993.9199999999</v>
      </c>
      <c r="G189" s="249">
        <f>Données!G189</f>
        <v>3182306.7</v>
      </c>
      <c r="H189" s="249">
        <f>Données!H189</f>
        <v>100247.45</v>
      </c>
      <c r="I189" s="249">
        <f>Données!I189</f>
        <v>6665.05</v>
      </c>
      <c r="J189" s="249">
        <f>Données!J189</f>
        <v>254974.4</v>
      </c>
      <c r="K189" s="249">
        <f>Données!K189</f>
        <v>28082.86</v>
      </c>
      <c r="L189" s="249">
        <f>Données!L189</f>
        <v>-28103.95</v>
      </c>
      <c r="M189" s="249">
        <f>Données!M189</f>
        <v>0</v>
      </c>
      <c r="N189" s="249">
        <f>Données!N189</f>
        <v>10164.936674737353</v>
      </c>
      <c r="O189" s="249">
        <f>Données!O189</f>
        <v>280066.5</v>
      </c>
      <c r="P189" s="249">
        <f>Données!P189</f>
        <v>36214.769999999997</v>
      </c>
      <c r="Q189" s="249">
        <f>Données!Q189</f>
        <v>12092.45</v>
      </c>
      <c r="R189" s="249">
        <f>Données!R189</f>
        <v>-9626.15</v>
      </c>
      <c r="S189" s="241"/>
      <c r="T189" s="233">
        <f t="shared" si="12"/>
        <v>10504062.399550717</v>
      </c>
      <c r="U189" s="250">
        <f t="shared" si="13"/>
        <v>466777.5</v>
      </c>
      <c r="V189" s="250">
        <f t="shared" si="14"/>
        <v>38681.07</v>
      </c>
      <c r="W189" s="251">
        <f t="shared" si="15"/>
        <v>11009520.969550718</v>
      </c>
      <c r="X189" s="233">
        <f t="shared" si="16"/>
        <v>8871.4915145452997</v>
      </c>
      <c r="Y189" s="252">
        <f t="shared" si="17"/>
        <v>2.5876537758215736</v>
      </c>
    </row>
    <row r="190" spans="1:25" x14ac:dyDescent="0.25">
      <c r="A190" s="108">
        <f>Données!A190</f>
        <v>5720</v>
      </c>
      <c r="B190" s="116" t="str">
        <f>Données!B190</f>
        <v>Givrins</v>
      </c>
      <c r="C190" s="246">
        <f>Données!C190</f>
        <v>1096</v>
      </c>
      <c r="D190" s="247">
        <f>Données!D190</f>
        <v>67</v>
      </c>
      <c r="E190" s="248">
        <f>Données!E190</f>
        <v>0.9</v>
      </c>
      <c r="F190" s="249">
        <f>Données!F190</f>
        <v>3386697.01</v>
      </c>
      <c r="G190" s="249">
        <f>Données!G190</f>
        <v>840489.72</v>
      </c>
      <c r="H190" s="249">
        <f>Données!H190</f>
        <v>22910.400000000001</v>
      </c>
      <c r="I190" s="249">
        <f>Données!I190</f>
        <v>8511.65</v>
      </c>
      <c r="J190" s="249">
        <f>Données!J190</f>
        <v>577564.55000000005</v>
      </c>
      <c r="K190" s="249">
        <f>Données!K190</f>
        <v>0</v>
      </c>
      <c r="L190" s="249">
        <f>Données!L190</f>
        <v>-84020.7</v>
      </c>
      <c r="M190" s="249">
        <f>Données!M190</f>
        <v>0</v>
      </c>
      <c r="N190" s="249">
        <f>Données!N190</f>
        <v>2987.5192184303132</v>
      </c>
      <c r="O190" s="249">
        <f>Données!O190</f>
        <v>312469.25</v>
      </c>
      <c r="P190" s="249">
        <f>Données!P190</f>
        <v>28811.9</v>
      </c>
      <c r="Q190" s="249">
        <f>Données!Q190</f>
        <v>0</v>
      </c>
      <c r="R190" s="249">
        <f>Données!R190</f>
        <v>-15096.99</v>
      </c>
      <c r="S190" s="241"/>
      <c r="T190" s="233">
        <f t="shared" si="12"/>
        <v>4783255.8972584698</v>
      </c>
      <c r="U190" s="250">
        <f t="shared" si="13"/>
        <v>347188.05555555556</v>
      </c>
      <c r="V190" s="250">
        <f t="shared" si="14"/>
        <v>13714.910000000002</v>
      </c>
      <c r="W190" s="251">
        <f t="shared" si="15"/>
        <v>5144158.862814026</v>
      </c>
      <c r="X190" s="233">
        <f t="shared" si="16"/>
        <v>4693.5756047573232</v>
      </c>
      <c r="Y190" s="252">
        <f t="shared" si="17"/>
        <v>1.36903119569481</v>
      </c>
    </row>
    <row r="191" spans="1:25" x14ac:dyDescent="0.25">
      <c r="A191" s="108">
        <f>Données!A191</f>
        <v>5721</v>
      </c>
      <c r="B191" s="116" t="str">
        <f>Données!B191</f>
        <v>Gland</v>
      </c>
      <c r="C191" s="246">
        <f>Données!C191</f>
        <v>13978</v>
      </c>
      <c r="D191" s="247">
        <f>Données!D191</f>
        <v>61</v>
      </c>
      <c r="E191" s="248">
        <f>Données!E191</f>
        <v>1</v>
      </c>
      <c r="F191" s="249">
        <f>Données!F191</f>
        <v>28090065.57</v>
      </c>
      <c r="G191" s="249">
        <f>Données!G191</f>
        <v>6135934.9500000002</v>
      </c>
      <c r="H191" s="249">
        <f>Données!H191</f>
        <v>9120939.9000000004</v>
      </c>
      <c r="I191" s="249">
        <f>Données!I191</f>
        <v>287332.3</v>
      </c>
      <c r="J191" s="249">
        <f>Données!J191</f>
        <v>663346.35</v>
      </c>
      <c r="K191" s="249">
        <f>Données!K191</f>
        <v>61132.1</v>
      </c>
      <c r="L191" s="249">
        <f>Données!L191</f>
        <v>-442855.96</v>
      </c>
      <c r="M191" s="249">
        <f>Données!M191</f>
        <v>0</v>
      </c>
      <c r="N191" s="249">
        <f>Données!N191</f>
        <v>894511.78423188953</v>
      </c>
      <c r="O191" s="249">
        <f>Données!O191</f>
        <v>3337420.6</v>
      </c>
      <c r="P191" s="249">
        <f>Données!P191</f>
        <v>1079986.1399999999</v>
      </c>
      <c r="Q191" s="249">
        <f>Données!Q191</f>
        <v>628530.80000000005</v>
      </c>
      <c r="R191" s="249">
        <f>Données!R191</f>
        <v>-39583.11</v>
      </c>
      <c r="S191" s="241"/>
      <c r="T191" s="233">
        <f t="shared" si="12"/>
        <v>49508999.527385376</v>
      </c>
      <c r="U191" s="250">
        <f t="shared" si="13"/>
        <v>3337420.6</v>
      </c>
      <c r="V191" s="250">
        <f t="shared" si="14"/>
        <v>1668933.8299999998</v>
      </c>
      <c r="W191" s="251">
        <f t="shared" si="15"/>
        <v>54515353.957385376</v>
      </c>
      <c r="X191" s="233">
        <f t="shared" si="16"/>
        <v>3900.0825552572169</v>
      </c>
      <c r="Y191" s="252">
        <f t="shared" si="17"/>
        <v>1.1375836107807458</v>
      </c>
    </row>
    <row r="192" spans="1:25" x14ac:dyDescent="0.25">
      <c r="A192" s="108">
        <f>Données!A192</f>
        <v>5722</v>
      </c>
      <c r="B192" s="116" t="str">
        <f>Données!B192</f>
        <v>Grens</v>
      </c>
      <c r="C192" s="246">
        <f>Données!C192</f>
        <v>413</v>
      </c>
      <c r="D192" s="247">
        <f>Données!D192</f>
        <v>62</v>
      </c>
      <c r="E192" s="248">
        <f>Données!E192</f>
        <v>1</v>
      </c>
      <c r="F192" s="249">
        <f>Données!F192</f>
        <v>1190573.51</v>
      </c>
      <c r="G192" s="249">
        <f>Données!G192</f>
        <v>190837.9</v>
      </c>
      <c r="H192" s="249">
        <f>Données!H192</f>
        <v>19692.599999999999</v>
      </c>
      <c r="I192" s="249">
        <f>Données!I192</f>
        <v>9536.4</v>
      </c>
      <c r="J192" s="249">
        <f>Données!J192</f>
        <v>0</v>
      </c>
      <c r="K192" s="249">
        <f>Données!K192</f>
        <v>0</v>
      </c>
      <c r="L192" s="249">
        <f>Données!L192</f>
        <v>-11303.05</v>
      </c>
      <c r="M192" s="249">
        <f>Données!M192</f>
        <v>0</v>
      </c>
      <c r="N192" s="249">
        <f>Données!N192</f>
        <v>2779.0102566668829</v>
      </c>
      <c r="O192" s="249">
        <f>Données!O192</f>
        <v>153419.85</v>
      </c>
      <c r="P192" s="249">
        <f>Données!P192</f>
        <v>42170.11</v>
      </c>
      <c r="Q192" s="249">
        <f>Données!Q192</f>
        <v>21416.35</v>
      </c>
      <c r="R192" s="249">
        <f>Données!R192</f>
        <v>-2232.1</v>
      </c>
      <c r="S192" s="241"/>
      <c r="T192" s="233">
        <f t="shared" si="12"/>
        <v>1524149.1464392608</v>
      </c>
      <c r="U192" s="250">
        <f t="shared" si="13"/>
        <v>153419.85</v>
      </c>
      <c r="V192" s="250">
        <f t="shared" si="14"/>
        <v>61354.36</v>
      </c>
      <c r="W192" s="251">
        <f t="shared" si="15"/>
        <v>1738923.356439261</v>
      </c>
      <c r="X192" s="233">
        <f t="shared" si="16"/>
        <v>4210.4681753977266</v>
      </c>
      <c r="Y192" s="252">
        <f t="shared" si="17"/>
        <v>1.228117487818273</v>
      </c>
    </row>
    <row r="193" spans="1:25" x14ac:dyDescent="0.25">
      <c r="A193" s="108">
        <f>Données!A193</f>
        <v>5723</v>
      </c>
      <c r="B193" s="116" t="str">
        <f>Données!B193</f>
        <v>Mies</v>
      </c>
      <c r="C193" s="246">
        <f>Données!C193</f>
        <v>2194</v>
      </c>
      <c r="D193" s="247">
        <f>Données!D193</f>
        <v>54</v>
      </c>
      <c r="E193" s="248">
        <f>Données!E193</f>
        <v>1</v>
      </c>
      <c r="F193" s="249">
        <f>Données!F193</f>
        <v>11031536.029999999</v>
      </c>
      <c r="G193" s="249">
        <f>Données!G193</f>
        <v>3324807.93</v>
      </c>
      <c r="H193" s="249">
        <f>Données!H193</f>
        <v>170497.7</v>
      </c>
      <c r="I193" s="249">
        <f>Données!I193</f>
        <v>11233.45</v>
      </c>
      <c r="J193" s="249">
        <f>Données!J193</f>
        <v>731840.15</v>
      </c>
      <c r="K193" s="249">
        <f>Données!K193</f>
        <v>1915.57</v>
      </c>
      <c r="L193" s="249">
        <f>Données!L193</f>
        <v>-33895.67</v>
      </c>
      <c r="M193" s="249">
        <f>Données!M193</f>
        <v>0</v>
      </c>
      <c r="N193" s="249">
        <f>Données!N193</f>
        <v>17278.48129617393</v>
      </c>
      <c r="O193" s="249">
        <f>Données!O193</f>
        <v>1069061.75</v>
      </c>
      <c r="P193" s="249">
        <f>Données!P193</f>
        <v>23088.639999999999</v>
      </c>
      <c r="Q193" s="249">
        <f>Données!Q193</f>
        <v>88725.85</v>
      </c>
      <c r="R193" s="249">
        <f>Données!R193</f>
        <v>-85553.29</v>
      </c>
      <c r="S193" s="241"/>
      <c r="T193" s="233">
        <f t="shared" si="12"/>
        <v>19039679.392926324</v>
      </c>
      <c r="U193" s="250">
        <f t="shared" si="13"/>
        <v>1069061.75</v>
      </c>
      <c r="V193" s="250">
        <f t="shared" si="14"/>
        <v>26261.200000000012</v>
      </c>
      <c r="W193" s="251">
        <f t="shared" si="15"/>
        <v>20135002.342926323</v>
      </c>
      <c r="X193" s="233">
        <f t="shared" si="16"/>
        <v>9177.3027998752605</v>
      </c>
      <c r="Y193" s="252">
        <f t="shared" si="17"/>
        <v>2.6768534020485149</v>
      </c>
    </row>
    <row r="194" spans="1:25" x14ac:dyDescent="0.25">
      <c r="A194" s="108">
        <f>Données!A194</f>
        <v>5724</v>
      </c>
      <c r="B194" s="116" t="str">
        <f>Données!B194</f>
        <v>Nyon</v>
      </c>
      <c r="C194" s="246">
        <f>Données!C194</f>
        <v>23732</v>
      </c>
      <c r="D194" s="247">
        <f>Données!D194</f>
        <v>61</v>
      </c>
      <c r="E194" s="248">
        <f>Données!E194</f>
        <v>1.5</v>
      </c>
      <c r="F194" s="249">
        <f>Données!F194</f>
        <v>72632101.920000002</v>
      </c>
      <c r="G194" s="249">
        <f>Données!G194</f>
        <v>13490241.460000001</v>
      </c>
      <c r="H194" s="249">
        <f>Données!H194</f>
        <v>9605214.5500000007</v>
      </c>
      <c r="I194" s="249">
        <f>Données!I194</f>
        <v>1411595.55</v>
      </c>
      <c r="J194" s="249">
        <f>Données!J194</f>
        <v>788073.33</v>
      </c>
      <c r="K194" s="249">
        <f>Données!K194</f>
        <v>162488.49</v>
      </c>
      <c r="L194" s="249">
        <f>Données!L194</f>
        <v>-773222.1</v>
      </c>
      <c r="M194" s="249">
        <f>Données!M194</f>
        <v>0</v>
      </c>
      <c r="N194" s="249">
        <f>Données!N194</f>
        <v>1047446.9966010234</v>
      </c>
      <c r="O194" s="249">
        <f>Données!O194</f>
        <v>9483325.9499999993</v>
      </c>
      <c r="P194" s="249">
        <f>Données!P194</f>
        <v>3280465.57</v>
      </c>
      <c r="Q194" s="249">
        <f>Données!Q194</f>
        <v>555043.44999999995</v>
      </c>
      <c r="R194" s="249">
        <f>Données!R194</f>
        <v>-377616.34</v>
      </c>
      <c r="S194" s="241"/>
      <c r="T194" s="233">
        <f t="shared" si="12"/>
        <v>108677885.2361718</v>
      </c>
      <c r="U194" s="250">
        <f t="shared" si="13"/>
        <v>6322217.2999999998</v>
      </c>
      <c r="V194" s="250">
        <f t="shared" si="14"/>
        <v>3457892.6799999997</v>
      </c>
      <c r="W194" s="251">
        <f t="shared" si="15"/>
        <v>118457995.2161718</v>
      </c>
      <c r="X194" s="233">
        <f t="shared" si="16"/>
        <v>4991.4880842816365</v>
      </c>
      <c r="Y194" s="252">
        <f t="shared" si="17"/>
        <v>1.4559268829917582</v>
      </c>
    </row>
    <row r="195" spans="1:25" x14ac:dyDescent="0.25">
      <c r="A195" s="108">
        <f>Données!A195</f>
        <v>5725</v>
      </c>
      <c r="B195" s="116" t="str">
        <f>Données!B195</f>
        <v>Prangins</v>
      </c>
      <c r="C195" s="246">
        <f>Données!C195</f>
        <v>4243</v>
      </c>
      <c r="D195" s="247">
        <f>Données!D195</f>
        <v>55</v>
      </c>
      <c r="E195" s="248">
        <f>Données!E195</f>
        <v>1.4</v>
      </c>
      <c r="F195" s="249">
        <f>Données!F195</f>
        <v>11900614.91</v>
      </c>
      <c r="G195" s="249">
        <f>Données!G195</f>
        <v>4621115.8</v>
      </c>
      <c r="H195" s="249">
        <f>Données!H195</f>
        <v>1417806.15</v>
      </c>
      <c r="I195" s="249">
        <f>Données!I195</f>
        <v>290602.84999999998</v>
      </c>
      <c r="J195" s="249">
        <f>Données!J195</f>
        <v>292899.09999999998</v>
      </c>
      <c r="K195" s="249">
        <f>Données!K195</f>
        <v>7179.08</v>
      </c>
      <c r="L195" s="249">
        <f>Données!L195</f>
        <v>-56436</v>
      </c>
      <c r="M195" s="249">
        <f>Données!M195</f>
        <v>0</v>
      </c>
      <c r="N195" s="249">
        <f>Données!N195</f>
        <v>162430.6727422085</v>
      </c>
      <c r="O195" s="249">
        <f>Données!O195</f>
        <v>1820475.35</v>
      </c>
      <c r="P195" s="249">
        <f>Données!P195</f>
        <v>336021.37</v>
      </c>
      <c r="Q195" s="249">
        <f>Données!Q195</f>
        <v>21658.5</v>
      </c>
      <c r="R195" s="249">
        <f>Données!R195</f>
        <v>-46164.15</v>
      </c>
      <c r="S195" s="241"/>
      <c r="T195" s="233">
        <f t="shared" si="12"/>
        <v>22836527.312574472</v>
      </c>
      <c r="U195" s="250">
        <f t="shared" si="13"/>
        <v>1300339.5357142859</v>
      </c>
      <c r="V195" s="250">
        <f t="shared" si="14"/>
        <v>311515.71999999997</v>
      </c>
      <c r="W195" s="251">
        <f t="shared" si="15"/>
        <v>24448382.568288758</v>
      </c>
      <c r="X195" s="233">
        <f t="shared" si="16"/>
        <v>5762.0510413124575</v>
      </c>
      <c r="Y195" s="252">
        <f t="shared" si="17"/>
        <v>1.6806861742563499</v>
      </c>
    </row>
    <row r="196" spans="1:25" x14ac:dyDescent="0.25">
      <c r="A196" s="108">
        <f>Données!A196</f>
        <v>5726</v>
      </c>
      <c r="B196" s="116" t="str">
        <f>Données!B196</f>
        <v>La Rippe</v>
      </c>
      <c r="C196" s="246">
        <f>Données!C196</f>
        <v>1218</v>
      </c>
      <c r="D196" s="247">
        <f>Données!D196</f>
        <v>63.5</v>
      </c>
      <c r="E196" s="248">
        <f>Données!E196</f>
        <v>1</v>
      </c>
      <c r="F196" s="249">
        <f>Données!F196</f>
        <v>3743288.95</v>
      </c>
      <c r="G196" s="249">
        <f>Données!G196</f>
        <v>783038.25</v>
      </c>
      <c r="H196" s="249">
        <f>Données!H196</f>
        <v>14341.65</v>
      </c>
      <c r="I196" s="249">
        <f>Données!I196</f>
        <v>4946.3</v>
      </c>
      <c r="J196" s="249">
        <f>Données!J196</f>
        <v>0</v>
      </c>
      <c r="K196" s="249">
        <f>Données!K196</f>
        <v>14279.69</v>
      </c>
      <c r="L196" s="249">
        <f>Données!L196</f>
        <v>-23892.43</v>
      </c>
      <c r="M196" s="249">
        <f>Données!M196</f>
        <v>0</v>
      </c>
      <c r="N196" s="249">
        <f>Données!N196</f>
        <v>1833.8434732655242</v>
      </c>
      <c r="O196" s="249">
        <f>Données!O196</f>
        <v>301019.84999999998</v>
      </c>
      <c r="P196" s="249">
        <f>Données!P196</f>
        <v>27568.06</v>
      </c>
      <c r="Q196" s="249">
        <f>Données!Q196</f>
        <v>5293.95</v>
      </c>
      <c r="R196" s="249">
        <f>Données!R196</f>
        <v>-14702.91</v>
      </c>
      <c r="S196" s="241"/>
      <c r="T196" s="233">
        <f t="shared" si="12"/>
        <v>4816262.9743774878</v>
      </c>
      <c r="U196" s="250">
        <f t="shared" si="13"/>
        <v>301019.84999999998</v>
      </c>
      <c r="V196" s="250">
        <f t="shared" si="14"/>
        <v>18159.100000000002</v>
      </c>
      <c r="W196" s="251">
        <f t="shared" si="15"/>
        <v>5135441.924377487</v>
      </c>
      <c r="X196" s="233">
        <f t="shared" si="16"/>
        <v>4216.2905783066399</v>
      </c>
      <c r="Y196" s="252">
        <f t="shared" si="17"/>
        <v>1.2298157775418106</v>
      </c>
    </row>
    <row r="197" spans="1:25" x14ac:dyDescent="0.25">
      <c r="A197" s="108">
        <f>Données!A197</f>
        <v>5727</v>
      </c>
      <c r="B197" s="116" t="str">
        <f>Données!B197</f>
        <v>Saint-Cergue</v>
      </c>
      <c r="C197" s="246">
        <f>Données!C197</f>
        <v>3057</v>
      </c>
      <c r="D197" s="247">
        <f>Données!D197</f>
        <v>66</v>
      </c>
      <c r="E197" s="248">
        <f>Données!E197</f>
        <v>1.5</v>
      </c>
      <c r="F197" s="249">
        <f>Données!F197</f>
        <v>5190413.57</v>
      </c>
      <c r="G197" s="249">
        <f>Données!G197</f>
        <v>638585.48</v>
      </c>
      <c r="H197" s="249">
        <f>Données!H197</f>
        <v>72750.850000000006</v>
      </c>
      <c r="I197" s="249">
        <f>Données!I197</f>
        <v>-6546.6</v>
      </c>
      <c r="J197" s="249">
        <f>Données!J197</f>
        <v>93713.9</v>
      </c>
      <c r="K197" s="249">
        <f>Données!K197</f>
        <v>31740.1</v>
      </c>
      <c r="L197" s="249">
        <f>Données!L197</f>
        <v>-248337.43</v>
      </c>
      <c r="M197" s="249">
        <f>Données!M197</f>
        <v>0</v>
      </c>
      <c r="N197" s="249">
        <f>Données!N197</f>
        <v>6294.5119499448656</v>
      </c>
      <c r="O197" s="249">
        <f>Données!O197</f>
        <v>925043.65</v>
      </c>
      <c r="P197" s="249">
        <f>Données!P197</f>
        <v>153777.75</v>
      </c>
      <c r="Q197" s="249">
        <f>Données!Q197</f>
        <v>13073</v>
      </c>
      <c r="R197" s="249">
        <f>Données!R197</f>
        <v>-12017.64</v>
      </c>
      <c r="S197" s="241"/>
      <c r="T197" s="233">
        <f t="shared" ref="T197:T260" si="18">(SUM(F197:N197)/D197*$T$4)</f>
        <v>5900854.0817130646</v>
      </c>
      <c r="U197" s="250">
        <f t="shared" ref="U197:U260" si="19">O197/E197*$U$4</f>
        <v>616695.76666666672</v>
      </c>
      <c r="V197" s="250">
        <f t="shared" ref="V197:V260" si="20">SUM(P197:R197)</f>
        <v>154833.10999999999</v>
      </c>
      <c r="W197" s="251">
        <f t="shared" ref="W197:W260" si="21">SUM(T197:V197)</f>
        <v>6672382.9583797315</v>
      </c>
      <c r="X197" s="233">
        <f t="shared" ref="X197:X260" si="22">W197/C197</f>
        <v>2182.6571666273248</v>
      </c>
      <c r="Y197" s="252">
        <f t="shared" si="17"/>
        <v>0.63664165707503306</v>
      </c>
    </row>
    <row r="198" spans="1:25" x14ac:dyDescent="0.25">
      <c r="A198" s="108">
        <f>Données!A198</f>
        <v>5728</v>
      </c>
      <c r="B198" s="116" t="str">
        <f>Données!B198</f>
        <v>Signy-Avenex</v>
      </c>
      <c r="C198" s="246">
        <f>Données!C198</f>
        <v>586</v>
      </c>
      <c r="D198" s="247">
        <f>Données!D198</f>
        <v>58</v>
      </c>
      <c r="E198" s="248">
        <f>Données!E198</f>
        <v>1</v>
      </c>
      <c r="F198" s="249">
        <f>Données!F198</f>
        <v>1703190.41</v>
      </c>
      <c r="G198" s="249">
        <f>Données!G198</f>
        <v>312556.33</v>
      </c>
      <c r="H198" s="249">
        <f>Données!H198</f>
        <v>414854.2</v>
      </c>
      <c r="I198" s="249">
        <f>Données!I198</f>
        <v>57056</v>
      </c>
      <c r="J198" s="249">
        <f>Données!J198</f>
        <v>-31747.15</v>
      </c>
      <c r="K198" s="249">
        <f>Données!K198</f>
        <v>0</v>
      </c>
      <c r="L198" s="249">
        <f>Données!L198</f>
        <v>-11512.78</v>
      </c>
      <c r="M198" s="249">
        <f>Données!M198</f>
        <v>0</v>
      </c>
      <c r="N198" s="249">
        <f>Données!N198</f>
        <v>44867.880735766536</v>
      </c>
      <c r="O198" s="249">
        <f>Données!O198</f>
        <v>247834.6</v>
      </c>
      <c r="P198" s="249">
        <f>Données!P198</f>
        <v>59983.040000000001</v>
      </c>
      <c r="Q198" s="249">
        <f>Données!Q198</f>
        <v>61787.95</v>
      </c>
      <c r="R198" s="249">
        <f>Données!R198</f>
        <v>-3742.9</v>
      </c>
      <c r="S198" s="241"/>
      <c r="T198" s="233">
        <f t="shared" si="18"/>
        <v>2892532.2980891308</v>
      </c>
      <c r="U198" s="250">
        <f t="shared" si="19"/>
        <v>247834.6</v>
      </c>
      <c r="V198" s="250">
        <f t="shared" si="20"/>
        <v>118028.09</v>
      </c>
      <c r="W198" s="251">
        <f t="shared" si="21"/>
        <v>3258394.9880891307</v>
      </c>
      <c r="X198" s="233">
        <f t="shared" si="22"/>
        <v>5560.4010035650699</v>
      </c>
      <c r="Y198" s="252">
        <f t="shared" si="17"/>
        <v>1.6218685018597669</v>
      </c>
    </row>
    <row r="199" spans="1:25" x14ac:dyDescent="0.25">
      <c r="A199" s="108">
        <f>Données!A199</f>
        <v>5729</v>
      </c>
      <c r="B199" s="116" t="str">
        <f>Données!B199</f>
        <v>Tannay</v>
      </c>
      <c r="C199" s="246">
        <f>Données!C199</f>
        <v>1732</v>
      </c>
      <c r="D199" s="247">
        <f>Données!D199</f>
        <v>60.5</v>
      </c>
      <c r="E199" s="248">
        <f>Données!E199</f>
        <v>1.5</v>
      </c>
      <c r="F199" s="249">
        <f>Données!F199</f>
        <v>8222102.4000000004</v>
      </c>
      <c r="G199" s="249">
        <f>Données!G199</f>
        <v>1974323.62</v>
      </c>
      <c r="H199" s="249">
        <f>Données!H199</f>
        <v>10199.200000000001</v>
      </c>
      <c r="I199" s="249">
        <f>Données!I199</f>
        <v>7794.35</v>
      </c>
      <c r="J199" s="249">
        <f>Données!J199</f>
        <v>252359.54</v>
      </c>
      <c r="K199" s="249">
        <f>Données!K199</f>
        <v>4659.1000000000004</v>
      </c>
      <c r="L199" s="249">
        <f>Données!L199</f>
        <v>-31907.52</v>
      </c>
      <c r="M199" s="249">
        <f>Données!M199</f>
        <v>0</v>
      </c>
      <c r="N199" s="249">
        <f>Données!N199</f>
        <v>1710.7755997074273</v>
      </c>
      <c r="O199" s="249">
        <f>Données!O199</f>
        <v>1016937.75</v>
      </c>
      <c r="P199" s="249">
        <f>Données!P199</f>
        <v>123917.61</v>
      </c>
      <c r="Q199" s="249">
        <f>Données!Q199</f>
        <v>7872.25</v>
      </c>
      <c r="R199" s="249">
        <f>Données!R199</f>
        <v>-22763.02</v>
      </c>
      <c r="S199" s="241"/>
      <c r="T199" s="233">
        <f t="shared" si="18"/>
        <v>11631396.527964294</v>
      </c>
      <c r="U199" s="250">
        <f t="shared" si="19"/>
        <v>677958.5</v>
      </c>
      <c r="V199" s="250">
        <f t="shared" si="20"/>
        <v>109026.83999999998</v>
      </c>
      <c r="W199" s="251">
        <f t="shared" si="21"/>
        <v>12418381.867964294</v>
      </c>
      <c r="X199" s="233">
        <f t="shared" si="22"/>
        <v>7169.9664364689916</v>
      </c>
      <c r="Y199" s="252">
        <f t="shared" si="17"/>
        <v>2.091349655401646</v>
      </c>
    </row>
    <row r="200" spans="1:25" x14ac:dyDescent="0.25">
      <c r="A200" s="108">
        <f>Données!A200</f>
        <v>5730</v>
      </c>
      <c r="B200" s="116" t="str">
        <f>Données!B200</f>
        <v>Trélex</v>
      </c>
      <c r="C200" s="246">
        <f>Données!C200</f>
        <v>1427</v>
      </c>
      <c r="D200" s="247">
        <f>Données!D200</f>
        <v>55.5</v>
      </c>
      <c r="E200" s="248">
        <f>Données!E200</f>
        <v>0.9</v>
      </c>
      <c r="F200" s="249">
        <f>Données!F200</f>
        <v>4917377.05</v>
      </c>
      <c r="G200" s="249">
        <f>Données!G200</f>
        <v>2506471.31</v>
      </c>
      <c r="H200" s="249">
        <f>Données!H200</f>
        <v>72355.399999999994</v>
      </c>
      <c r="I200" s="249">
        <f>Données!I200</f>
        <v>3516.15</v>
      </c>
      <c r="J200" s="249">
        <f>Données!J200</f>
        <v>123456.62</v>
      </c>
      <c r="K200" s="249">
        <f>Données!K200</f>
        <v>61691.32</v>
      </c>
      <c r="L200" s="249">
        <f>Données!L200</f>
        <v>-80799.100000000006</v>
      </c>
      <c r="M200" s="249">
        <f>Données!M200</f>
        <v>0</v>
      </c>
      <c r="N200" s="249">
        <f>Données!N200</f>
        <v>7213.6513612923536</v>
      </c>
      <c r="O200" s="249">
        <f>Données!O200</f>
        <v>453358.2</v>
      </c>
      <c r="P200" s="249">
        <f>Données!P200</f>
        <v>70417.009999999995</v>
      </c>
      <c r="Q200" s="249">
        <f>Données!Q200</f>
        <v>12203.05</v>
      </c>
      <c r="R200" s="249">
        <f>Données!R200</f>
        <v>-112953.4</v>
      </c>
      <c r="S200" s="241"/>
      <c r="T200" s="233">
        <f t="shared" si="18"/>
        <v>9242723.2536270358</v>
      </c>
      <c r="U200" s="250">
        <f t="shared" si="19"/>
        <v>503731.33333333331</v>
      </c>
      <c r="V200" s="250">
        <f t="shared" si="20"/>
        <v>-30333.339999999997</v>
      </c>
      <c r="W200" s="251">
        <f t="shared" si="21"/>
        <v>9716121.2469603699</v>
      </c>
      <c r="X200" s="233">
        <f t="shared" si="22"/>
        <v>6808.774524849593</v>
      </c>
      <c r="Y200" s="252">
        <f t="shared" ref="Y200:Y263" si="23">X200/$X$302</f>
        <v>1.9859965011585567</v>
      </c>
    </row>
    <row r="201" spans="1:25" x14ac:dyDescent="0.25">
      <c r="A201" s="108">
        <f>Données!A201</f>
        <v>5731</v>
      </c>
      <c r="B201" s="116" t="str">
        <f>Données!B201</f>
        <v>Le Vaud</v>
      </c>
      <c r="C201" s="246">
        <f>Données!C201</f>
        <v>1374</v>
      </c>
      <c r="D201" s="247">
        <f>Données!D201</f>
        <v>69</v>
      </c>
      <c r="E201" s="248">
        <f>Données!E201</f>
        <v>1.5</v>
      </c>
      <c r="F201" s="249">
        <f>Données!F201</f>
        <v>3772921.99</v>
      </c>
      <c r="G201" s="249">
        <f>Données!G201</f>
        <v>529482.02</v>
      </c>
      <c r="H201" s="249">
        <f>Données!H201</f>
        <v>10476.1</v>
      </c>
      <c r="I201" s="249">
        <f>Données!I201</f>
        <v>4779.1499999999996</v>
      </c>
      <c r="J201" s="249">
        <f>Données!J201</f>
        <v>0</v>
      </c>
      <c r="K201" s="249">
        <f>Données!K201</f>
        <v>13649.46</v>
      </c>
      <c r="L201" s="249">
        <f>Données!L201</f>
        <v>-30786.15</v>
      </c>
      <c r="M201" s="249">
        <f>Données!M201</f>
        <v>0</v>
      </c>
      <c r="N201" s="249">
        <f>Données!N201</f>
        <v>1450.4258174421796</v>
      </c>
      <c r="O201" s="249">
        <f>Données!O201</f>
        <v>479792.15</v>
      </c>
      <c r="P201" s="249">
        <f>Données!P201</f>
        <v>50336.49</v>
      </c>
      <c r="Q201" s="249">
        <f>Données!Q201</f>
        <v>5779.6</v>
      </c>
      <c r="R201" s="249">
        <f>Données!R201</f>
        <v>-8445.0499999999993</v>
      </c>
      <c r="S201" s="241"/>
      <c r="T201" s="233">
        <f t="shared" si="18"/>
        <v>4201977.1458784016</v>
      </c>
      <c r="U201" s="250">
        <f t="shared" si="19"/>
        <v>319861.43333333335</v>
      </c>
      <c r="V201" s="250">
        <f t="shared" si="20"/>
        <v>47671.039999999994</v>
      </c>
      <c r="W201" s="251">
        <f t="shared" si="21"/>
        <v>4569509.6192117352</v>
      </c>
      <c r="X201" s="233">
        <f t="shared" si="22"/>
        <v>3325.6984128178569</v>
      </c>
      <c r="Y201" s="252">
        <f t="shared" si="23"/>
        <v>0.97004613497767878</v>
      </c>
    </row>
    <row r="202" spans="1:25" x14ac:dyDescent="0.25">
      <c r="A202" s="108">
        <f>Données!A202</f>
        <v>5732</v>
      </c>
      <c r="B202" s="116" t="str">
        <f>Données!B202</f>
        <v>Vich</v>
      </c>
      <c r="C202" s="246">
        <f>Données!C202</f>
        <v>1174</v>
      </c>
      <c r="D202" s="247">
        <f>Données!D202</f>
        <v>63</v>
      </c>
      <c r="E202" s="248">
        <f>Données!E202</f>
        <v>1</v>
      </c>
      <c r="F202" s="249">
        <f>Données!F202</f>
        <v>4296382.3099999996</v>
      </c>
      <c r="G202" s="249">
        <f>Données!G202</f>
        <v>1056751.54</v>
      </c>
      <c r="H202" s="249">
        <f>Données!H202</f>
        <v>211136.6</v>
      </c>
      <c r="I202" s="249">
        <f>Données!I202</f>
        <v>10828.65</v>
      </c>
      <c r="J202" s="249">
        <f>Données!J202</f>
        <v>0</v>
      </c>
      <c r="K202" s="249">
        <f>Données!K202</f>
        <v>13292.59</v>
      </c>
      <c r="L202" s="249">
        <f>Données!L202</f>
        <v>-51891.97</v>
      </c>
      <c r="M202" s="249">
        <f>Données!M202</f>
        <v>0</v>
      </c>
      <c r="N202" s="249">
        <f>Données!N202</f>
        <v>21103.825186411741</v>
      </c>
      <c r="O202" s="249">
        <f>Données!O202</f>
        <v>410777.65</v>
      </c>
      <c r="P202" s="249">
        <f>Données!P202</f>
        <v>-16056.31</v>
      </c>
      <c r="Q202" s="249">
        <f>Données!Q202</f>
        <v>28322.799999999999</v>
      </c>
      <c r="R202" s="249">
        <f>Données!R202</f>
        <v>-15261.24</v>
      </c>
      <c r="S202" s="241"/>
      <c r="T202" s="233">
        <f t="shared" si="18"/>
        <v>5945414.1205055686</v>
      </c>
      <c r="U202" s="250">
        <f t="shared" si="19"/>
        <v>410777.65</v>
      </c>
      <c r="V202" s="250">
        <f t="shared" si="20"/>
        <v>-2994.75</v>
      </c>
      <c r="W202" s="251">
        <f t="shared" si="21"/>
        <v>6353197.0205055689</v>
      </c>
      <c r="X202" s="233">
        <f t="shared" si="22"/>
        <v>5411.5817891870265</v>
      </c>
      <c r="Y202" s="252">
        <f t="shared" si="23"/>
        <v>1.5784606260399272</v>
      </c>
    </row>
    <row r="203" spans="1:25" x14ac:dyDescent="0.25">
      <c r="A203" s="108">
        <f>Données!A203</f>
        <v>5741</v>
      </c>
      <c r="B203" s="116" t="str">
        <f>Données!B203</f>
        <v>L'Abergement</v>
      </c>
      <c r="C203" s="246">
        <f>Données!C203</f>
        <v>267</v>
      </c>
      <c r="D203" s="247">
        <f>Données!D203</f>
        <v>80</v>
      </c>
      <c r="E203" s="248">
        <f>Données!E203</f>
        <v>1.2</v>
      </c>
      <c r="F203" s="249">
        <f>Données!F203</f>
        <v>542775.18999999994</v>
      </c>
      <c r="G203" s="249">
        <f>Données!G203</f>
        <v>105964.91</v>
      </c>
      <c r="H203" s="249">
        <f>Données!H203</f>
        <v>3203.5</v>
      </c>
      <c r="I203" s="249">
        <f>Données!I203</f>
        <v>1911.85</v>
      </c>
      <c r="J203" s="249">
        <f>Données!J203</f>
        <v>0</v>
      </c>
      <c r="K203" s="249">
        <f>Données!K203</f>
        <v>8220.32</v>
      </c>
      <c r="L203" s="249">
        <f>Données!L203</f>
        <v>-24410.13</v>
      </c>
      <c r="M203" s="249">
        <f>Données!M203</f>
        <v>0</v>
      </c>
      <c r="N203" s="249">
        <f>Données!N203</f>
        <v>486.35294113520609</v>
      </c>
      <c r="O203" s="249">
        <f>Données!O203</f>
        <v>57101.45</v>
      </c>
      <c r="P203" s="249">
        <f>Données!P203</f>
        <v>7528.59</v>
      </c>
      <c r="Q203" s="249">
        <f>Données!Q203</f>
        <v>0</v>
      </c>
      <c r="R203" s="249">
        <f>Données!R203</f>
        <v>-60.75</v>
      </c>
      <c r="S203" s="241"/>
      <c r="T203" s="233">
        <f t="shared" si="18"/>
        <v>537612.35363817518</v>
      </c>
      <c r="U203" s="250">
        <f t="shared" si="19"/>
        <v>47584.541666666664</v>
      </c>
      <c r="V203" s="250">
        <f t="shared" si="20"/>
        <v>7467.84</v>
      </c>
      <c r="W203" s="251">
        <f t="shared" si="21"/>
        <v>592664.73530484177</v>
      </c>
      <c r="X203" s="233">
        <f t="shared" si="22"/>
        <v>2219.7181097559619</v>
      </c>
      <c r="Y203" s="252">
        <f t="shared" si="23"/>
        <v>0.64745166453151226</v>
      </c>
    </row>
    <row r="204" spans="1:25" x14ac:dyDescent="0.25">
      <c r="A204" s="108">
        <f>Données!A204</f>
        <v>5742</v>
      </c>
      <c r="B204" s="116" t="str">
        <f>Données!B204</f>
        <v>Agiez</v>
      </c>
      <c r="C204" s="246">
        <f>Données!C204</f>
        <v>382</v>
      </c>
      <c r="D204" s="247">
        <f>Données!D204</f>
        <v>76</v>
      </c>
      <c r="E204" s="248">
        <f>Données!E204</f>
        <v>0.5</v>
      </c>
      <c r="F204" s="249">
        <f>Données!F204</f>
        <v>721673.14</v>
      </c>
      <c r="G204" s="249">
        <f>Données!G204</f>
        <v>60951.87</v>
      </c>
      <c r="H204" s="249">
        <f>Données!H204</f>
        <v>21335.55</v>
      </c>
      <c r="I204" s="249">
        <f>Données!I204</f>
        <v>2190</v>
      </c>
      <c r="J204" s="249">
        <f>Données!J204</f>
        <v>0</v>
      </c>
      <c r="K204" s="249">
        <f>Données!K204</f>
        <v>0</v>
      </c>
      <c r="L204" s="249">
        <f>Données!L204</f>
        <v>-11049.67</v>
      </c>
      <c r="M204" s="249">
        <f>Données!M204</f>
        <v>0</v>
      </c>
      <c r="N204" s="249">
        <f>Données!N204</f>
        <v>2236.7424388015183</v>
      </c>
      <c r="O204" s="249">
        <f>Données!O204</f>
        <v>30451.85</v>
      </c>
      <c r="P204" s="249">
        <f>Données!P204</f>
        <v>12843.59</v>
      </c>
      <c r="Q204" s="249">
        <f>Données!Q204</f>
        <v>1672.3</v>
      </c>
      <c r="R204" s="249">
        <f>Données!R204</f>
        <v>-141.69999999999999</v>
      </c>
      <c r="S204" s="241"/>
      <c r="T204" s="233">
        <f t="shared" si="18"/>
        <v>707072.20711858966</v>
      </c>
      <c r="U204" s="250">
        <f t="shared" si="19"/>
        <v>60903.7</v>
      </c>
      <c r="V204" s="250">
        <f t="shared" si="20"/>
        <v>14374.189999999999</v>
      </c>
      <c r="W204" s="251">
        <f t="shared" si="21"/>
        <v>782350.09711858956</v>
      </c>
      <c r="X204" s="233">
        <f t="shared" si="22"/>
        <v>2048.0369034518053</v>
      </c>
      <c r="Y204" s="252">
        <f t="shared" si="23"/>
        <v>0.59737535876013459</v>
      </c>
    </row>
    <row r="205" spans="1:25" x14ac:dyDescent="0.25">
      <c r="A205" s="108">
        <f>Données!A205</f>
        <v>5743</v>
      </c>
      <c r="B205" s="116" t="str">
        <f>Données!B205</f>
        <v>Arnex-sur-Orbe</v>
      </c>
      <c r="C205" s="246">
        <f>Données!C205</f>
        <v>698</v>
      </c>
      <c r="D205" s="247">
        <f>Données!D205</f>
        <v>71</v>
      </c>
      <c r="E205" s="248">
        <f>Données!E205</f>
        <v>0.8</v>
      </c>
      <c r="F205" s="249">
        <f>Données!F205</f>
        <v>1049175.29</v>
      </c>
      <c r="G205" s="249">
        <f>Données!G205</f>
        <v>148616.70000000001</v>
      </c>
      <c r="H205" s="249">
        <f>Données!H205</f>
        <v>18998.400000000001</v>
      </c>
      <c r="I205" s="249">
        <f>Données!I205</f>
        <v>1450.1</v>
      </c>
      <c r="J205" s="249">
        <f>Données!J205</f>
        <v>0</v>
      </c>
      <c r="K205" s="249">
        <f>Données!K205</f>
        <v>0</v>
      </c>
      <c r="L205" s="249">
        <f>Données!L205</f>
        <v>-14424.83</v>
      </c>
      <c r="M205" s="249">
        <f>Données!M205</f>
        <v>0</v>
      </c>
      <c r="N205" s="249">
        <f>Données!N205</f>
        <v>1944.1852692002037</v>
      </c>
      <c r="O205" s="249">
        <f>Données!O205</f>
        <v>82482.899999999994</v>
      </c>
      <c r="P205" s="249">
        <f>Données!P205</f>
        <v>12108.61</v>
      </c>
      <c r="Q205" s="249">
        <f>Données!Q205</f>
        <v>0</v>
      </c>
      <c r="R205" s="249">
        <f>Données!R205</f>
        <v>-119.6</v>
      </c>
      <c r="S205" s="241"/>
      <c r="T205" s="233">
        <f t="shared" si="18"/>
        <v>1144557.3662752854</v>
      </c>
      <c r="U205" s="250">
        <f t="shared" si="19"/>
        <v>103103.62499999999</v>
      </c>
      <c r="V205" s="250">
        <f t="shared" si="20"/>
        <v>11989.01</v>
      </c>
      <c r="W205" s="251">
        <f t="shared" si="21"/>
        <v>1259650.0012752854</v>
      </c>
      <c r="X205" s="233">
        <f t="shared" si="22"/>
        <v>1804.6561622855093</v>
      </c>
      <c r="Y205" s="252">
        <f t="shared" si="23"/>
        <v>0.52638559420829434</v>
      </c>
    </row>
    <row r="206" spans="1:25" x14ac:dyDescent="0.25">
      <c r="A206" s="108">
        <f>Données!A206</f>
        <v>5744</v>
      </c>
      <c r="B206" s="116" t="str">
        <f>Données!B206</f>
        <v>Ballaigues</v>
      </c>
      <c r="C206" s="246">
        <f>Données!C206</f>
        <v>1217</v>
      </c>
      <c r="D206" s="247">
        <f>Données!D206</f>
        <v>65</v>
      </c>
      <c r="E206" s="248">
        <f>Données!E206</f>
        <v>1</v>
      </c>
      <c r="F206" s="249">
        <f>Données!F206</f>
        <v>1397737.95</v>
      </c>
      <c r="G206" s="249">
        <f>Données!G206</f>
        <v>223522.51</v>
      </c>
      <c r="H206" s="249">
        <f>Données!H206</f>
        <v>1538494.45</v>
      </c>
      <c r="I206" s="249">
        <f>Données!I206</f>
        <v>12026.15</v>
      </c>
      <c r="J206" s="249">
        <f>Données!J206</f>
        <v>0</v>
      </c>
      <c r="K206" s="249">
        <f>Données!K206</f>
        <v>16001.13</v>
      </c>
      <c r="L206" s="249">
        <f>Données!L206</f>
        <v>-22446.720000000001</v>
      </c>
      <c r="M206" s="249">
        <f>Données!M206</f>
        <v>0</v>
      </c>
      <c r="N206" s="249">
        <f>Données!N206</f>
        <v>147419.09235941322</v>
      </c>
      <c r="O206" s="249">
        <f>Données!O206</f>
        <v>208066.15</v>
      </c>
      <c r="P206" s="249">
        <f>Données!P206</f>
        <v>69072.89</v>
      </c>
      <c r="Q206" s="249">
        <f>Données!Q206</f>
        <v>0</v>
      </c>
      <c r="R206" s="249">
        <f>Données!R206</f>
        <v>-2119.3000000000002</v>
      </c>
      <c r="S206" s="241"/>
      <c r="T206" s="233">
        <f t="shared" si="18"/>
        <v>3434875.5049354704</v>
      </c>
      <c r="U206" s="250">
        <f t="shared" si="19"/>
        <v>208066.15</v>
      </c>
      <c r="V206" s="250">
        <f t="shared" si="20"/>
        <v>66953.59</v>
      </c>
      <c r="W206" s="251">
        <f t="shared" si="21"/>
        <v>3709895.2449354702</v>
      </c>
      <c r="X206" s="233">
        <f t="shared" si="22"/>
        <v>3048.3937920587264</v>
      </c>
      <c r="Y206" s="252">
        <f t="shared" si="23"/>
        <v>0.88916138771915521</v>
      </c>
    </row>
    <row r="207" spans="1:25" x14ac:dyDescent="0.25">
      <c r="A207" s="108">
        <f>Données!A207</f>
        <v>5745</v>
      </c>
      <c r="B207" s="116" t="str">
        <f>Données!B207</f>
        <v>Baulmes</v>
      </c>
      <c r="C207" s="246">
        <f>Données!C207</f>
        <v>1189</v>
      </c>
      <c r="D207" s="247">
        <f>Données!D207</f>
        <v>76.5</v>
      </c>
      <c r="E207" s="248">
        <f>Données!E207</f>
        <v>1</v>
      </c>
      <c r="F207" s="249">
        <f>Données!F207</f>
        <v>1844408.99</v>
      </c>
      <c r="G207" s="249">
        <f>Données!G207</f>
        <v>226486.85</v>
      </c>
      <c r="H207" s="249">
        <f>Données!H207</f>
        <v>44222.6</v>
      </c>
      <c r="I207" s="249">
        <f>Données!I207</f>
        <v>4034.25</v>
      </c>
      <c r="J207" s="249">
        <f>Données!J207</f>
        <v>0</v>
      </c>
      <c r="K207" s="249">
        <f>Données!K207</f>
        <v>7941.54</v>
      </c>
      <c r="L207" s="249">
        <f>Données!L207</f>
        <v>-15180.01</v>
      </c>
      <c r="M207" s="249">
        <f>Données!M207</f>
        <v>0</v>
      </c>
      <c r="N207" s="249">
        <f>Données!N207</f>
        <v>4588.1241610877987</v>
      </c>
      <c r="O207" s="249">
        <f>Données!O207</f>
        <v>169266.05</v>
      </c>
      <c r="P207" s="249">
        <f>Données!P207</f>
        <v>32633.47</v>
      </c>
      <c r="Q207" s="249">
        <f>Données!Q207</f>
        <v>0</v>
      </c>
      <c r="R207" s="249">
        <f>Données!R207</f>
        <v>-654.54999999999995</v>
      </c>
      <c r="S207" s="241"/>
      <c r="T207" s="233">
        <f t="shared" si="18"/>
        <v>1864628.918799564</v>
      </c>
      <c r="U207" s="250">
        <f t="shared" si="19"/>
        <v>169266.05</v>
      </c>
      <c r="V207" s="250">
        <f t="shared" si="20"/>
        <v>31978.920000000002</v>
      </c>
      <c r="W207" s="251">
        <f t="shared" si="21"/>
        <v>2065873.888799564</v>
      </c>
      <c r="X207" s="233">
        <f t="shared" si="22"/>
        <v>1737.4885523966054</v>
      </c>
      <c r="Y207" s="252">
        <f t="shared" si="23"/>
        <v>0.50679401605517693</v>
      </c>
    </row>
    <row r="208" spans="1:25" x14ac:dyDescent="0.25">
      <c r="A208" s="108">
        <f>Données!A208</f>
        <v>5746</v>
      </c>
      <c r="B208" s="116" t="str">
        <f>Données!B208</f>
        <v>Bavois</v>
      </c>
      <c r="C208" s="246">
        <f>Données!C208</f>
        <v>1055</v>
      </c>
      <c r="D208" s="247">
        <f>Données!D208</f>
        <v>72</v>
      </c>
      <c r="E208" s="248">
        <f>Données!E208</f>
        <v>1.2</v>
      </c>
      <c r="F208" s="249">
        <f>Données!F208</f>
        <v>2129057.48</v>
      </c>
      <c r="G208" s="249">
        <f>Données!G208</f>
        <v>238125.74</v>
      </c>
      <c r="H208" s="249">
        <f>Données!H208</f>
        <v>43873.599999999999</v>
      </c>
      <c r="I208" s="249">
        <f>Données!I208</f>
        <v>3498.7</v>
      </c>
      <c r="J208" s="249">
        <f>Données!J208</f>
        <v>0</v>
      </c>
      <c r="K208" s="249">
        <f>Données!K208</f>
        <v>7457.03</v>
      </c>
      <c r="L208" s="249">
        <f>Données!L208</f>
        <v>-12768.19</v>
      </c>
      <c r="M208" s="249">
        <f>Données!M208</f>
        <v>0</v>
      </c>
      <c r="N208" s="249">
        <f>Données!N208</f>
        <v>4504.0236608129107</v>
      </c>
      <c r="O208" s="249">
        <f>Données!O208</f>
        <v>262860.7</v>
      </c>
      <c r="P208" s="249">
        <f>Données!P208</f>
        <v>24335.84</v>
      </c>
      <c r="Q208" s="249">
        <f>Données!Q208</f>
        <v>20976</v>
      </c>
      <c r="R208" s="249">
        <f>Données!R208</f>
        <v>-134.1</v>
      </c>
      <c r="S208" s="241"/>
      <c r="T208" s="233">
        <f t="shared" si="18"/>
        <v>2259407.657639557</v>
      </c>
      <c r="U208" s="250">
        <f t="shared" si="19"/>
        <v>219050.58333333334</v>
      </c>
      <c r="V208" s="250">
        <f t="shared" si="20"/>
        <v>45177.74</v>
      </c>
      <c r="W208" s="251">
        <f t="shared" si="21"/>
        <v>2523635.9809728907</v>
      </c>
      <c r="X208" s="233">
        <f t="shared" si="22"/>
        <v>2392.0720198795175</v>
      </c>
      <c r="Y208" s="252">
        <f t="shared" si="23"/>
        <v>0.69772418585192408</v>
      </c>
    </row>
    <row r="209" spans="1:25" x14ac:dyDescent="0.25">
      <c r="A209" s="108">
        <f>Données!A209</f>
        <v>5747</v>
      </c>
      <c r="B209" s="116" t="str">
        <f>Données!B209</f>
        <v>Bofflens</v>
      </c>
      <c r="C209" s="246">
        <f>Données!C209</f>
        <v>201</v>
      </c>
      <c r="D209" s="247">
        <f>Données!D209</f>
        <v>69</v>
      </c>
      <c r="E209" s="248">
        <f>Données!E209</f>
        <v>1</v>
      </c>
      <c r="F209" s="249">
        <f>Données!F209</f>
        <v>339794.76</v>
      </c>
      <c r="G209" s="249">
        <f>Données!G209</f>
        <v>58690.11</v>
      </c>
      <c r="H209" s="249">
        <f>Données!H209</f>
        <v>30776.9</v>
      </c>
      <c r="I209" s="249">
        <f>Données!I209</f>
        <v>1183.2</v>
      </c>
      <c r="J209" s="249">
        <f>Données!J209</f>
        <v>0</v>
      </c>
      <c r="K209" s="249">
        <f>Données!K209</f>
        <v>0</v>
      </c>
      <c r="L209" s="249">
        <f>Données!L209</f>
        <v>-445.55</v>
      </c>
      <c r="M209" s="249">
        <f>Données!M209</f>
        <v>0</v>
      </c>
      <c r="N209" s="249">
        <f>Données!N209</f>
        <v>3038.6754833931795</v>
      </c>
      <c r="O209" s="249">
        <f>Données!O209</f>
        <v>35908.9</v>
      </c>
      <c r="P209" s="249">
        <f>Données!P209</f>
        <v>8.5</v>
      </c>
      <c r="Q209" s="249">
        <f>Données!Q209</f>
        <v>0</v>
      </c>
      <c r="R209" s="249">
        <f>Données!R209</f>
        <v>-16.2</v>
      </c>
      <c r="S209" s="241"/>
      <c r="T209" s="233">
        <f t="shared" si="18"/>
        <v>422972.47850812512</v>
      </c>
      <c r="U209" s="250">
        <f t="shared" si="19"/>
        <v>35908.9</v>
      </c>
      <c r="V209" s="250">
        <f t="shared" si="20"/>
        <v>-7.6999999999999993</v>
      </c>
      <c r="W209" s="251">
        <f t="shared" si="21"/>
        <v>458873.67850812513</v>
      </c>
      <c r="X209" s="233">
        <f t="shared" si="22"/>
        <v>2282.9536244185329</v>
      </c>
      <c r="Y209" s="252">
        <f t="shared" si="23"/>
        <v>0.6658963215561331</v>
      </c>
    </row>
    <row r="210" spans="1:25" x14ac:dyDescent="0.25">
      <c r="A210" s="108">
        <f>Données!A210</f>
        <v>5748</v>
      </c>
      <c r="B210" s="116" t="str">
        <f>Données!B210</f>
        <v>Bretonnières</v>
      </c>
      <c r="C210" s="246">
        <f>Données!C210</f>
        <v>265</v>
      </c>
      <c r="D210" s="247">
        <f>Données!D210</f>
        <v>69</v>
      </c>
      <c r="E210" s="248">
        <f>Données!E210</f>
        <v>0.6</v>
      </c>
      <c r="F210" s="249">
        <f>Données!F210</f>
        <v>361914.12</v>
      </c>
      <c r="G210" s="249">
        <f>Données!G210</f>
        <v>41454.69</v>
      </c>
      <c r="H210" s="249">
        <f>Données!H210</f>
        <v>2852.95</v>
      </c>
      <c r="I210" s="249">
        <f>Données!I210</f>
        <v>1237.05</v>
      </c>
      <c r="J210" s="249">
        <f>Données!J210</f>
        <v>0</v>
      </c>
      <c r="K210" s="249">
        <f>Données!K210</f>
        <v>0</v>
      </c>
      <c r="L210" s="249">
        <f>Données!L210</f>
        <v>-91.04</v>
      </c>
      <c r="M210" s="249">
        <f>Données!M210</f>
        <v>0</v>
      </c>
      <c r="N210" s="249">
        <f>Données!N210</f>
        <v>388.86557698749704</v>
      </c>
      <c r="O210" s="249">
        <f>Données!O210</f>
        <v>25009.25</v>
      </c>
      <c r="P210" s="249">
        <f>Données!P210</f>
        <v>-178.72</v>
      </c>
      <c r="Q210" s="249">
        <f>Données!Q210</f>
        <v>0</v>
      </c>
      <c r="R210" s="249">
        <f>Données!R210</f>
        <v>0</v>
      </c>
      <c r="S210" s="241"/>
      <c r="T210" s="233">
        <f t="shared" si="18"/>
        <v>398278.66549617884</v>
      </c>
      <c r="U210" s="250">
        <f t="shared" si="19"/>
        <v>41682.083333333336</v>
      </c>
      <c r="V210" s="250">
        <f t="shared" si="20"/>
        <v>-178.72</v>
      </c>
      <c r="W210" s="251">
        <f t="shared" si="21"/>
        <v>439782.02882951219</v>
      </c>
      <c r="X210" s="233">
        <f t="shared" si="22"/>
        <v>1659.5548257717442</v>
      </c>
      <c r="Y210" s="252">
        <f t="shared" si="23"/>
        <v>0.4840621561831332</v>
      </c>
    </row>
    <row r="211" spans="1:25" x14ac:dyDescent="0.25">
      <c r="A211" s="108">
        <f>Données!A211</f>
        <v>5749</v>
      </c>
      <c r="B211" s="116" t="str">
        <f>Données!B211</f>
        <v>Chavornay</v>
      </c>
      <c r="C211" s="246">
        <f>Données!C211</f>
        <v>5374</v>
      </c>
      <c r="D211" s="247">
        <f>Données!D211</f>
        <v>70.5</v>
      </c>
      <c r="E211" s="248">
        <f>Données!E211</f>
        <v>1</v>
      </c>
      <c r="F211" s="249">
        <f>Données!F211</f>
        <v>8982384.0099999998</v>
      </c>
      <c r="G211" s="249">
        <f>Données!G211</f>
        <v>939432.2</v>
      </c>
      <c r="H211" s="249">
        <f>Données!H211</f>
        <v>352340.16</v>
      </c>
      <c r="I211" s="249">
        <f>Données!I211</f>
        <v>29055.05</v>
      </c>
      <c r="J211" s="249">
        <f>Données!J211</f>
        <v>0</v>
      </c>
      <c r="K211" s="249">
        <f>Données!K211</f>
        <v>46990.74</v>
      </c>
      <c r="L211" s="249">
        <f>Données!L211</f>
        <v>-228735.24</v>
      </c>
      <c r="M211" s="249">
        <f>Données!M211</f>
        <v>0</v>
      </c>
      <c r="N211" s="249">
        <f>Données!N211</f>
        <v>36261.972713182782</v>
      </c>
      <c r="O211" s="249">
        <f>Données!O211</f>
        <v>945221.05</v>
      </c>
      <c r="P211" s="249">
        <f>Données!P211</f>
        <v>242556.39</v>
      </c>
      <c r="Q211" s="249">
        <f>Données!Q211</f>
        <v>42165.599999999999</v>
      </c>
      <c r="R211" s="249">
        <f>Données!R211</f>
        <v>-8517.5</v>
      </c>
      <c r="S211" s="241"/>
      <c r="T211" s="233">
        <f t="shared" si="18"/>
        <v>9710522.4634635076</v>
      </c>
      <c r="U211" s="250">
        <f t="shared" si="19"/>
        <v>945221.05</v>
      </c>
      <c r="V211" s="250">
        <f t="shared" si="20"/>
        <v>276204.49</v>
      </c>
      <c r="W211" s="251">
        <f t="shared" si="21"/>
        <v>10931948.003463509</v>
      </c>
      <c r="X211" s="233">
        <f t="shared" si="22"/>
        <v>2034.2292525983455</v>
      </c>
      <c r="Y211" s="252">
        <f t="shared" si="23"/>
        <v>0.59334791649660978</v>
      </c>
    </row>
    <row r="212" spans="1:25" x14ac:dyDescent="0.25">
      <c r="A212" s="108">
        <f>Données!A212</f>
        <v>5750</v>
      </c>
      <c r="B212" s="116" t="str">
        <f>Données!B212</f>
        <v>Les Clées</v>
      </c>
      <c r="C212" s="246">
        <f>Données!C212</f>
        <v>195</v>
      </c>
      <c r="D212" s="247">
        <f>Données!D212</f>
        <v>80</v>
      </c>
      <c r="E212" s="248">
        <f>Données!E212</f>
        <v>0.6</v>
      </c>
      <c r="F212" s="249">
        <f>Données!F212</f>
        <v>411681.76</v>
      </c>
      <c r="G212" s="249">
        <f>Données!G212</f>
        <v>69051.259999999995</v>
      </c>
      <c r="H212" s="249">
        <f>Données!H212</f>
        <v>1022.8</v>
      </c>
      <c r="I212" s="249">
        <f>Données!I212</f>
        <v>678.7</v>
      </c>
      <c r="J212" s="249">
        <f>Données!J212</f>
        <v>0</v>
      </c>
      <c r="K212" s="249">
        <f>Données!K212</f>
        <v>0</v>
      </c>
      <c r="L212" s="249">
        <f>Données!L212</f>
        <v>3251.94</v>
      </c>
      <c r="M212" s="249">
        <f>Données!M212</f>
        <v>0</v>
      </c>
      <c r="N212" s="249">
        <f>Données!N212</f>
        <v>161.77378465629002</v>
      </c>
      <c r="O212" s="249">
        <f>Données!O212</f>
        <v>15498.95</v>
      </c>
      <c r="P212" s="249">
        <f>Données!P212</f>
        <v>1081.68</v>
      </c>
      <c r="Q212" s="249">
        <f>Données!Q212</f>
        <v>4.4000000000000004</v>
      </c>
      <c r="R212" s="249">
        <f>Données!R212</f>
        <v>-461.25</v>
      </c>
      <c r="S212" s="241"/>
      <c r="T212" s="233">
        <f t="shared" si="18"/>
        <v>409303.76362549898</v>
      </c>
      <c r="U212" s="250">
        <f t="shared" si="19"/>
        <v>25831.583333333336</v>
      </c>
      <c r="V212" s="250">
        <f t="shared" si="20"/>
        <v>624.83000000000015</v>
      </c>
      <c r="W212" s="251">
        <f t="shared" si="21"/>
        <v>435760.17695883231</v>
      </c>
      <c r="X212" s="233">
        <f t="shared" si="22"/>
        <v>2234.667574147858</v>
      </c>
      <c r="Y212" s="252">
        <f t="shared" si="23"/>
        <v>0.65181215317277119</v>
      </c>
    </row>
    <row r="213" spans="1:25" x14ac:dyDescent="0.25">
      <c r="A213" s="108">
        <f>Données!A213</f>
        <v>5752</v>
      </c>
      <c r="B213" s="116" t="str">
        <f>Données!B213</f>
        <v>Croy</v>
      </c>
      <c r="C213" s="246">
        <f>Données!C213</f>
        <v>408</v>
      </c>
      <c r="D213" s="247">
        <f>Données!D213</f>
        <v>74</v>
      </c>
      <c r="E213" s="248">
        <f>Données!E213</f>
        <v>0.7</v>
      </c>
      <c r="F213" s="249">
        <f>Données!F213</f>
        <v>686649.73</v>
      </c>
      <c r="G213" s="249">
        <f>Données!G213</f>
        <v>189966.11</v>
      </c>
      <c r="H213" s="249">
        <f>Données!H213</f>
        <v>1790.2</v>
      </c>
      <c r="I213" s="249">
        <f>Données!I213</f>
        <v>1876</v>
      </c>
      <c r="J213" s="249">
        <f>Données!J213</f>
        <v>0</v>
      </c>
      <c r="K213" s="249">
        <f>Données!K213</f>
        <v>0</v>
      </c>
      <c r="L213" s="249">
        <f>Données!L213</f>
        <v>-3958.51</v>
      </c>
      <c r="M213" s="249">
        <f>Données!M213</f>
        <v>0</v>
      </c>
      <c r="N213" s="249">
        <f>Données!N213</f>
        <v>348.57187734757002</v>
      </c>
      <c r="O213" s="249">
        <f>Données!O213</f>
        <v>44974</v>
      </c>
      <c r="P213" s="249">
        <f>Données!P213</f>
        <v>12188.99</v>
      </c>
      <c r="Q213" s="249">
        <f>Données!Q213</f>
        <v>1379.4</v>
      </c>
      <c r="R213" s="249">
        <f>Données!R213</f>
        <v>-2758.15</v>
      </c>
      <c r="S213" s="241"/>
      <c r="T213" s="233">
        <f t="shared" si="18"/>
        <v>798436.83309976524</v>
      </c>
      <c r="U213" s="250">
        <f t="shared" si="19"/>
        <v>64248.571428571435</v>
      </c>
      <c r="V213" s="250">
        <f t="shared" si="20"/>
        <v>10810.24</v>
      </c>
      <c r="W213" s="251">
        <f t="shared" si="21"/>
        <v>873495.64452833671</v>
      </c>
      <c r="X213" s="233">
        <f t="shared" si="22"/>
        <v>2140.9206973733744</v>
      </c>
      <c r="Y213" s="252">
        <f t="shared" si="23"/>
        <v>0.62446788312987689</v>
      </c>
    </row>
    <row r="214" spans="1:25" x14ac:dyDescent="0.25">
      <c r="A214" s="108">
        <f>Données!A214</f>
        <v>5754</v>
      </c>
      <c r="B214" s="116" t="str">
        <f>Données!B214</f>
        <v>Juriens</v>
      </c>
      <c r="C214" s="246">
        <f>Données!C214</f>
        <v>345</v>
      </c>
      <c r="D214" s="247">
        <f>Données!D214</f>
        <v>79</v>
      </c>
      <c r="E214" s="248">
        <f>Données!E214</f>
        <v>1</v>
      </c>
      <c r="F214" s="249">
        <f>Données!F214</f>
        <v>585137.49</v>
      </c>
      <c r="G214" s="249">
        <f>Données!G214</f>
        <v>83376.490000000005</v>
      </c>
      <c r="H214" s="249">
        <f>Données!H214</f>
        <v>2336.85</v>
      </c>
      <c r="I214" s="249">
        <f>Données!I214</f>
        <v>2095.9</v>
      </c>
      <c r="J214" s="249">
        <f>Données!J214</f>
        <v>0</v>
      </c>
      <c r="K214" s="249">
        <f>Données!K214</f>
        <v>0</v>
      </c>
      <c r="L214" s="249">
        <f>Données!L214</f>
        <v>-7779.85</v>
      </c>
      <c r="M214" s="249">
        <f>Données!M214</f>
        <v>0</v>
      </c>
      <c r="N214" s="249">
        <f>Données!N214</f>
        <v>421.45327295631478</v>
      </c>
      <c r="O214" s="249">
        <f>Données!O214</f>
        <v>49665.8</v>
      </c>
      <c r="P214" s="249">
        <f>Données!P214</f>
        <v>4314.1499999999996</v>
      </c>
      <c r="Q214" s="249">
        <f>Données!Q214</f>
        <v>2096.5</v>
      </c>
      <c r="R214" s="249">
        <f>Données!R214</f>
        <v>0</v>
      </c>
      <c r="S214" s="241"/>
      <c r="T214" s="233">
        <f t="shared" si="18"/>
        <v>567823.94982453983</v>
      </c>
      <c r="U214" s="250">
        <f t="shared" si="19"/>
        <v>49665.8</v>
      </c>
      <c r="V214" s="250">
        <f t="shared" si="20"/>
        <v>6410.65</v>
      </c>
      <c r="W214" s="251">
        <f t="shared" si="21"/>
        <v>623900.3998245399</v>
      </c>
      <c r="X214" s="233">
        <f t="shared" si="22"/>
        <v>1808.4069560131591</v>
      </c>
      <c r="Y214" s="252">
        <f t="shared" si="23"/>
        <v>0.52747963296556166</v>
      </c>
    </row>
    <row r="215" spans="1:25" x14ac:dyDescent="0.25">
      <c r="A215" s="108">
        <f>Données!A215</f>
        <v>5755</v>
      </c>
      <c r="B215" s="116" t="str">
        <f>Données!B215</f>
        <v>Lignerolle</v>
      </c>
      <c r="C215" s="246">
        <f>Données!C215</f>
        <v>452</v>
      </c>
      <c r="D215" s="247">
        <f>Données!D215</f>
        <v>78.5</v>
      </c>
      <c r="E215" s="248">
        <f>Données!E215</f>
        <v>0.7</v>
      </c>
      <c r="F215" s="249">
        <f>Données!F215</f>
        <v>621469.35</v>
      </c>
      <c r="G215" s="249">
        <f>Données!G215</f>
        <v>80942.33</v>
      </c>
      <c r="H215" s="249">
        <f>Données!H215</f>
        <v>22916.85</v>
      </c>
      <c r="I215" s="249">
        <f>Données!I215</f>
        <v>215</v>
      </c>
      <c r="J215" s="249">
        <f>Données!J215</f>
        <v>0</v>
      </c>
      <c r="K215" s="249">
        <f>Données!K215</f>
        <v>0</v>
      </c>
      <c r="L215" s="249">
        <f>Données!L215</f>
        <v>-16447.939999999999</v>
      </c>
      <c r="M215" s="249">
        <f>Données!M215</f>
        <v>0</v>
      </c>
      <c r="N215" s="249">
        <f>Données!N215</f>
        <v>2199.3105616230396</v>
      </c>
      <c r="O215" s="249">
        <f>Données!O215</f>
        <v>53234.55</v>
      </c>
      <c r="P215" s="249">
        <f>Données!P215</f>
        <v>19319.419999999998</v>
      </c>
      <c r="Q215" s="249">
        <f>Données!Q215</f>
        <v>4315.1000000000004</v>
      </c>
      <c r="R215" s="249">
        <f>Données!R215</f>
        <v>0</v>
      </c>
      <c r="S215" s="241"/>
      <c r="T215" s="233">
        <f t="shared" si="18"/>
        <v>610682.02244755905</v>
      </c>
      <c r="U215" s="250">
        <f t="shared" si="19"/>
        <v>76049.357142857145</v>
      </c>
      <c r="V215" s="250">
        <f t="shared" si="20"/>
        <v>23634.519999999997</v>
      </c>
      <c r="W215" s="251">
        <f t="shared" si="21"/>
        <v>710365.89959041623</v>
      </c>
      <c r="X215" s="233">
        <f t="shared" si="22"/>
        <v>1571.6059725451687</v>
      </c>
      <c r="Y215" s="252">
        <f t="shared" si="23"/>
        <v>0.45840906484468197</v>
      </c>
    </row>
    <row r="216" spans="1:25" x14ac:dyDescent="0.25">
      <c r="A216" s="108">
        <f>Données!A216</f>
        <v>5756</v>
      </c>
      <c r="B216" s="116" t="str">
        <f>Données!B216</f>
        <v>Montcherand</v>
      </c>
      <c r="C216" s="246">
        <f>Données!C216</f>
        <v>494</v>
      </c>
      <c r="D216" s="247">
        <f>Données!D216</f>
        <v>72</v>
      </c>
      <c r="E216" s="248">
        <f>Données!E216</f>
        <v>1</v>
      </c>
      <c r="F216" s="249">
        <f>Données!F216</f>
        <v>1161127.56</v>
      </c>
      <c r="G216" s="249">
        <f>Données!G216</f>
        <v>259094.75</v>
      </c>
      <c r="H216" s="249">
        <f>Données!H216</f>
        <v>13745.05</v>
      </c>
      <c r="I216" s="249">
        <f>Données!I216</f>
        <v>939.85</v>
      </c>
      <c r="J216" s="249">
        <f>Données!J216</f>
        <v>0</v>
      </c>
      <c r="K216" s="249">
        <f>Données!K216</f>
        <v>2892.54</v>
      </c>
      <c r="L216" s="249">
        <f>Données!L216</f>
        <v>-20611.8</v>
      </c>
      <c r="M216" s="249">
        <f>Données!M216</f>
        <v>0</v>
      </c>
      <c r="N216" s="249">
        <f>Données!N216</f>
        <v>1396.1985602698521</v>
      </c>
      <c r="O216" s="249">
        <f>Données!O216</f>
        <v>89602.65</v>
      </c>
      <c r="P216" s="249">
        <f>Données!P216</f>
        <v>-7186.66</v>
      </c>
      <c r="Q216" s="249">
        <f>Données!Q216</f>
        <v>212.4</v>
      </c>
      <c r="R216" s="249">
        <f>Données!R216</f>
        <v>-3561.25</v>
      </c>
      <c r="S216" s="241"/>
      <c r="T216" s="233">
        <f t="shared" si="18"/>
        <v>1327876.554971342</v>
      </c>
      <c r="U216" s="250">
        <f t="shared" si="19"/>
        <v>89602.65</v>
      </c>
      <c r="V216" s="250">
        <f t="shared" si="20"/>
        <v>-10535.51</v>
      </c>
      <c r="W216" s="251">
        <f t="shared" si="21"/>
        <v>1406943.6949713419</v>
      </c>
      <c r="X216" s="233">
        <f t="shared" si="22"/>
        <v>2848.0641598610159</v>
      </c>
      <c r="Y216" s="252">
        <f t="shared" si="23"/>
        <v>0.83072885376300654</v>
      </c>
    </row>
    <row r="217" spans="1:25" x14ac:dyDescent="0.25">
      <c r="A217" s="108">
        <f>Données!A217</f>
        <v>5757</v>
      </c>
      <c r="B217" s="116" t="str">
        <f>Données!B217</f>
        <v>Orbe</v>
      </c>
      <c r="C217" s="246">
        <f>Données!C217</f>
        <v>8008</v>
      </c>
      <c r="D217" s="247">
        <f>Données!D217</f>
        <v>75.5</v>
      </c>
      <c r="E217" s="248">
        <f>Données!E217</f>
        <v>1</v>
      </c>
      <c r="F217" s="249">
        <f>Données!F217</f>
        <v>13075796.560000001</v>
      </c>
      <c r="G217" s="249">
        <f>Données!G217</f>
        <v>1174370.03</v>
      </c>
      <c r="H217" s="249">
        <f>Données!H217</f>
        <v>1492536.05</v>
      </c>
      <c r="I217" s="249">
        <f>Données!I217</f>
        <v>122052.9</v>
      </c>
      <c r="J217" s="249">
        <f>Données!J217</f>
        <v>0</v>
      </c>
      <c r="K217" s="249">
        <f>Données!K217</f>
        <v>190176.05</v>
      </c>
      <c r="L217" s="249">
        <f>Données!L217</f>
        <v>-457432.85</v>
      </c>
      <c r="M217" s="249">
        <f>Données!M217</f>
        <v>0</v>
      </c>
      <c r="N217" s="249">
        <f>Données!N217</f>
        <v>153510.52900718508</v>
      </c>
      <c r="O217" s="249">
        <f>Données!O217</f>
        <v>1600785.75</v>
      </c>
      <c r="P217" s="249">
        <f>Données!P217</f>
        <v>673905.54</v>
      </c>
      <c r="Q217" s="249">
        <f>Données!Q217</f>
        <v>195063.15</v>
      </c>
      <c r="R217" s="249">
        <f>Données!R217</f>
        <v>-3087.4</v>
      </c>
      <c r="S217" s="241"/>
      <c r="T217" s="233">
        <f t="shared" si="18"/>
        <v>14060362.971847843</v>
      </c>
      <c r="U217" s="250">
        <f t="shared" si="19"/>
        <v>1600785.75</v>
      </c>
      <c r="V217" s="250">
        <f t="shared" si="20"/>
        <v>865881.29</v>
      </c>
      <c r="W217" s="251">
        <f t="shared" si="21"/>
        <v>16527030.011847842</v>
      </c>
      <c r="X217" s="233">
        <f t="shared" si="22"/>
        <v>2063.814936544436</v>
      </c>
      <c r="Y217" s="252">
        <f t="shared" si="23"/>
        <v>0.60197752591999076</v>
      </c>
    </row>
    <row r="218" spans="1:25" x14ac:dyDescent="0.25">
      <c r="A218" s="108">
        <f>Données!A218</f>
        <v>5758</v>
      </c>
      <c r="B218" s="116" t="str">
        <f>Données!B218</f>
        <v>La Praz</v>
      </c>
      <c r="C218" s="246">
        <f>Données!C218</f>
        <v>214</v>
      </c>
      <c r="D218" s="247">
        <f>Données!D218</f>
        <v>83</v>
      </c>
      <c r="E218" s="248">
        <f>Données!E218</f>
        <v>1</v>
      </c>
      <c r="F218" s="249">
        <f>Données!F218</f>
        <v>359630.44</v>
      </c>
      <c r="G218" s="249">
        <f>Données!G218</f>
        <v>44322.65</v>
      </c>
      <c r="H218" s="249">
        <f>Données!H218</f>
        <v>2797.1</v>
      </c>
      <c r="I218" s="249">
        <f>Données!I218</f>
        <v>2353</v>
      </c>
      <c r="J218" s="249">
        <f>Données!J218</f>
        <v>0</v>
      </c>
      <c r="K218" s="249">
        <f>Données!K218</f>
        <v>0</v>
      </c>
      <c r="L218" s="249">
        <f>Données!L218</f>
        <v>-3287.9</v>
      </c>
      <c r="M218" s="249">
        <f>Données!M218</f>
        <v>0</v>
      </c>
      <c r="N218" s="249">
        <f>Données!N218</f>
        <v>489.65687238222705</v>
      </c>
      <c r="O218" s="249">
        <f>Données!O218</f>
        <v>35098.199999999997</v>
      </c>
      <c r="P218" s="249">
        <f>Données!P218</f>
        <v>10130.61</v>
      </c>
      <c r="Q218" s="249">
        <f>Données!Q218</f>
        <v>0</v>
      </c>
      <c r="R218" s="249">
        <f>Données!R218</f>
        <v>-86.95</v>
      </c>
      <c r="S218" s="241"/>
      <c r="T218" s="233">
        <f t="shared" si="18"/>
        <v>329920.3576820399</v>
      </c>
      <c r="U218" s="250">
        <f t="shared" si="19"/>
        <v>35098.199999999997</v>
      </c>
      <c r="V218" s="250">
        <f t="shared" si="20"/>
        <v>10043.66</v>
      </c>
      <c r="W218" s="251">
        <f t="shared" si="21"/>
        <v>375062.21768203989</v>
      </c>
      <c r="X218" s="233">
        <f t="shared" si="22"/>
        <v>1752.627185430093</v>
      </c>
      <c r="Y218" s="252">
        <f t="shared" si="23"/>
        <v>0.51120968177110016</v>
      </c>
    </row>
    <row r="219" spans="1:25" x14ac:dyDescent="0.25">
      <c r="A219" s="108">
        <f>Données!A219</f>
        <v>5759</v>
      </c>
      <c r="B219" s="116" t="str">
        <f>Données!B219</f>
        <v>Premier</v>
      </c>
      <c r="C219" s="246">
        <f>Données!C219</f>
        <v>233</v>
      </c>
      <c r="D219" s="247">
        <f>Données!D219</f>
        <v>79.5</v>
      </c>
      <c r="E219" s="248">
        <f>Données!E219</f>
        <v>1</v>
      </c>
      <c r="F219" s="249">
        <f>Données!F219</f>
        <v>330460.53999999998</v>
      </c>
      <c r="G219" s="249">
        <f>Données!G219</f>
        <v>46618.95</v>
      </c>
      <c r="H219" s="249">
        <f>Données!H219</f>
        <v>9036.9500000000007</v>
      </c>
      <c r="I219" s="249">
        <f>Données!I219</f>
        <v>1053.1500000000001</v>
      </c>
      <c r="J219" s="249">
        <f>Données!J219</f>
        <v>0</v>
      </c>
      <c r="K219" s="249">
        <f>Données!K219</f>
        <v>37.67</v>
      </c>
      <c r="L219" s="249">
        <f>Données!L219</f>
        <v>-10242.77</v>
      </c>
      <c r="M219" s="249">
        <f>Données!M219</f>
        <v>0</v>
      </c>
      <c r="N219" s="249">
        <f>Données!N219</f>
        <v>959.33803382922827</v>
      </c>
      <c r="O219" s="249">
        <f>Données!O219</f>
        <v>35561.699999999997</v>
      </c>
      <c r="P219" s="249">
        <f>Données!P219</f>
        <v>3356.5</v>
      </c>
      <c r="Q219" s="249">
        <f>Données!Q219</f>
        <v>289.45</v>
      </c>
      <c r="R219" s="249">
        <f>Données!R219</f>
        <v>-538.6</v>
      </c>
      <c r="S219" s="241"/>
      <c r="T219" s="233">
        <f t="shared" si="18"/>
        <v>320385.05040637543</v>
      </c>
      <c r="U219" s="250">
        <f t="shared" si="19"/>
        <v>35561.699999999997</v>
      </c>
      <c r="V219" s="250">
        <f t="shared" si="20"/>
        <v>3107.35</v>
      </c>
      <c r="W219" s="251">
        <f t="shared" si="21"/>
        <v>359054.10040637542</v>
      </c>
      <c r="X219" s="233">
        <f t="shared" si="22"/>
        <v>1541.0047227741434</v>
      </c>
      <c r="Y219" s="252">
        <f t="shared" si="23"/>
        <v>0.44948323322042533</v>
      </c>
    </row>
    <row r="220" spans="1:25" x14ac:dyDescent="0.25">
      <c r="A220" s="108">
        <f>Données!A220</f>
        <v>5760</v>
      </c>
      <c r="B220" s="116" t="str">
        <f>Données!B220</f>
        <v>Rances</v>
      </c>
      <c r="C220" s="246">
        <f>Données!C220</f>
        <v>513</v>
      </c>
      <c r="D220" s="247">
        <f>Données!D220</f>
        <v>76.5</v>
      </c>
      <c r="E220" s="248">
        <f>Données!E220</f>
        <v>1</v>
      </c>
      <c r="F220" s="249">
        <f>Données!F220</f>
        <v>681135.75</v>
      </c>
      <c r="G220" s="249">
        <f>Données!G220</f>
        <v>96599.49</v>
      </c>
      <c r="H220" s="249">
        <f>Données!H220</f>
        <v>9063.2999999999993</v>
      </c>
      <c r="I220" s="249">
        <f>Données!I220</f>
        <v>3495.3</v>
      </c>
      <c r="J220" s="249">
        <f>Données!J220</f>
        <v>0</v>
      </c>
      <c r="K220" s="249">
        <f>Données!K220</f>
        <v>8075.08</v>
      </c>
      <c r="L220" s="249">
        <f>Données!L220</f>
        <v>-30055.85</v>
      </c>
      <c r="M220" s="249">
        <f>Données!M220</f>
        <v>0</v>
      </c>
      <c r="N220" s="249">
        <f>Données!N220</f>
        <v>1194.0359988154473</v>
      </c>
      <c r="O220" s="249">
        <f>Données!O220</f>
        <v>87897.5</v>
      </c>
      <c r="P220" s="249">
        <f>Données!P220</f>
        <v>8386.27</v>
      </c>
      <c r="Q220" s="249">
        <f>Données!Q220</f>
        <v>0</v>
      </c>
      <c r="R220" s="249">
        <f>Données!R220</f>
        <v>-1852.45</v>
      </c>
      <c r="S220" s="241"/>
      <c r="T220" s="233">
        <f t="shared" si="18"/>
        <v>677932.25319383154</v>
      </c>
      <c r="U220" s="250">
        <f t="shared" si="19"/>
        <v>87897.5</v>
      </c>
      <c r="V220" s="250">
        <f t="shared" si="20"/>
        <v>6533.8200000000006</v>
      </c>
      <c r="W220" s="251">
        <f t="shared" si="21"/>
        <v>772363.57319383149</v>
      </c>
      <c r="X220" s="233">
        <f t="shared" si="22"/>
        <v>1505.5820140230633</v>
      </c>
      <c r="Y220" s="252">
        <f t="shared" si="23"/>
        <v>0.43915106913062424</v>
      </c>
    </row>
    <row r="221" spans="1:25" x14ac:dyDescent="0.25">
      <c r="A221" s="108">
        <f>Données!A221</f>
        <v>5761</v>
      </c>
      <c r="B221" s="116" t="str">
        <f>Données!B221</f>
        <v>Romainmôtier-Envy</v>
      </c>
      <c r="C221" s="246">
        <f>Données!C221</f>
        <v>579</v>
      </c>
      <c r="D221" s="247">
        <f>Données!D221</f>
        <v>81</v>
      </c>
      <c r="E221" s="248">
        <f>Données!E221</f>
        <v>1.1000000000000001</v>
      </c>
      <c r="F221" s="249">
        <f>Données!F221</f>
        <v>852286.25</v>
      </c>
      <c r="G221" s="249">
        <f>Données!G221</f>
        <v>151121.44</v>
      </c>
      <c r="H221" s="249">
        <f>Données!H221</f>
        <v>8469.65</v>
      </c>
      <c r="I221" s="249">
        <f>Données!I221</f>
        <v>2588.5</v>
      </c>
      <c r="J221" s="249">
        <f>Données!J221</f>
        <v>0</v>
      </c>
      <c r="K221" s="249">
        <f>Données!K221</f>
        <v>0</v>
      </c>
      <c r="L221" s="249">
        <f>Données!L221</f>
        <v>-5039.37</v>
      </c>
      <c r="M221" s="249">
        <f>Données!M221</f>
        <v>0</v>
      </c>
      <c r="N221" s="249">
        <f>Données!N221</f>
        <v>1051.3774768127848</v>
      </c>
      <c r="O221" s="249">
        <f>Données!O221</f>
        <v>102235.95</v>
      </c>
      <c r="P221" s="249">
        <f>Données!P221</f>
        <v>9035.32</v>
      </c>
      <c r="Q221" s="249">
        <f>Données!Q221</f>
        <v>5328.6</v>
      </c>
      <c r="R221" s="249">
        <f>Données!R221</f>
        <v>-41.1</v>
      </c>
      <c r="S221" s="241"/>
      <c r="T221" s="233">
        <f t="shared" si="18"/>
        <v>840769.35715197015</v>
      </c>
      <c r="U221" s="250">
        <f t="shared" si="19"/>
        <v>92941.772727272721</v>
      </c>
      <c r="V221" s="250">
        <f t="shared" si="20"/>
        <v>14322.82</v>
      </c>
      <c r="W221" s="251">
        <f t="shared" si="21"/>
        <v>948033.94987924281</v>
      </c>
      <c r="X221" s="233">
        <f t="shared" si="22"/>
        <v>1637.3643348518874</v>
      </c>
      <c r="Y221" s="252">
        <f t="shared" si="23"/>
        <v>0.47758959094176917</v>
      </c>
    </row>
    <row r="222" spans="1:25" x14ac:dyDescent="0.25">
      <c r="A222" s="108">
        <f>Données!A222</f>
        <v>5762</v>
      </c>
      <c r="B222" s="116" t="str">
        <f>Données!B222</f>
        <v>Sergey</v>
      </c>
      <c r="C222" s="246">
        <f>Données!C222</f>
        <v>165</v>
      </c>
      <c r="D222" s="247">
        <f>Données!D222</f>
        <v>76</v>
      </c>
      <c r="E222" s="248">
        <f>Données!E222</f>
        <v>1</v>
      </c>
      <c r="F222" s="249">
        <f>Données!F222</f>
        <v>294664.75</v>
      </c>
      <c r="G222" s="249">
        <f>Données!G222</f>
        <v>37809.49</v>
      </c>
      <c r="H222" s="249">
        <f>Données!H222</f>
        <v>20326.3</v>
      </c>
      <c r="I222" s="249">
        <f>Données!I222</f>
        <v>1009.4</v>
      </c>
      <c r="J222" s="249">
        <f>Données!J222</f>
        <v>0</v>
      </c>
      <c r="K222" s="249">
        <f>Données!K222</f>
        <v>2481.52</v>
      </c>
      <c r="L222" s="249">
        <f>Données!L222</f>
        <v>-2537.58</v>
      </c>
      <c r="M222" s="249">
        <f>Données!M222</f>
        <v>0</v>
      </c>
      <c r="N222" s="249">
        <f>Données!N222</f>
        <v>2028.5377239442887</v>
      </c>
      <c r="O222" s="249">
        <f>Données!O222</f>
        <v>22877.65</v>
      </c>
      <c r="P222" s="249">
        <f>Données!P222</f>
        <v>3833.87</v>
      </c>
      <c r="Q222" s="249">
        <f>Données!Q222</f>
        <v>-41.5</v>
      </c>
      <c r="R222" s="249">
        <f>Données!R222</f>
        <v>0</v>
      </c>
      <c r="S222" s="241"/>
      <c r="T222" s="233">
        <f t="shared" si="18"/>
        <v>315504.81141170237</v>
      </c>
      <c r="U222" s="250">
        <f t="shared" si="19"/>
        <v>22877.65</v>
      </c>
      <c r="V222" s="250">
        <f t="shared" si="20"/>
        <v>3792.37</v>
      </c>
      <c r="W222" s="251">
        <f t="shared" si="21"/>
        <v>342174.83141170238</v>
      </c>
      <c r="X222" s="233">
        <f t="shared" si="22"/>
        <v>2073.7868570406204</v>
      </c>
      <c r="Y222" s="252">
        <f t="shared" si="23"/>
        <v>0.60488615494610631</v>
      </c>
    </row>
    <row r="223" spans="1:25" x14ac:dyDescent="0.25">
      <c r="A223" s="108">
        <f>Données!A223</f>
        <v>5763</v>
      </c>
      <c r="B223" s="116" t="str">
        <f>Données!B223</f>
        <v>Valeyres-sous-Rances</v>
      </c>
      <c r="C223" s="246">
        <f>Données!C223</f>
        <v>573</v>
      </c>
      <c r="D223" s="247">
        <f>Données!D223</f>
        <v>71</v>
      </c>
      <c r="E223" s="248">
        <f>Données!E223</f>
        <v>1</v>
      </c>
      <c r="F223" s="249">
        <f>Données!F223</f>
        <v>948822.4</v>
      </c>
      <c r="G223" s="249">
        <f>Données!G223</f>
        <v>132617.94</v>
      </c>
      <c r="H223" s="249">
        <f>Données!H223</f>
        <v>8603.25</v>
      </c>
      <c r="I223" s="249">
        <f>Données!I223</f>
        <v>8800.7000000000007</v>
      </c>
      <c r="J223" s="249">
        <f>Données!J223</f>
        <v>0</v>
      </c>
      <c r="K223" s="249">
        <f>Données!K223</f>
        <v>2159.56</v>
      </c>
      <c r="L223" s="249">
        <f>Données!L223</f>
        <v>-3676.31</v>
      </c>
      <c r="M223" s="249">
        <f>Données!M223</f>
        <v>0</v>
      </c>
      <c r="N223" s="249">
        <f>Données!N223</f>
        <v>1654.7181072399876</v>
      </c>
      <c r="O223" s="249">
        <f>Données!O223</f>
        <v>97874.9</v>
      </c>
      <c r="P223" s="249">
        <f>Données!P223</f>
        <v>9754.7999999999993</v>
      </c>
      <c r="Q223" s="249">
        <f>Données!Q223</f>
        <v>4579.6499999999996</v>
      </c>
      <c r="R223" s="249">
        <f>Données!R223</f>
        <v>-16.149999999999999</v>
      </c>
      <c r="S223" s="241"/>
      <c r="T223" s="233">
        <f t="shared" si="18"/>
        <v>1043199.6419997375</v>
      </c>
      <c r="U223" s="250">
        <f t="shared" si="19"/>
        <v>97874.9</v>
      </c>
      <c r="V223" s="250">
        <f t="shared" si="20"/>
        <v>14318.3</v>
      </c>
      <c r="W223" s="251">
        <f t="shared" si="21"/>
        <v>1155392.8419997375</v>
      </c>
      <c r="X223" s="233">
        <f t="shared" si="22"/>
        <v>2016.3923944148996</v>
      </c>
      <c r="Y223" s="252">
        <f t="shared" si="23"/>
        <v>0.58814522725867124</v>
      </c>
    </row>
    <row r="224" spans="1:25" x14ac:dyDescent="0.25">
      <c r="A224" s="108">
        <f>Données!A224</f>
        <v>5764</v>
      </c>
      <c r="B224" s="116" t="str">
        <f>Données!B224</f>
        <v>Vallorbe</v>
      </c>
      <c r="C224" s="246">
        <f>Données!C224</f>
        <v>4434</v>
      </c>
      <c r="D224" s="247">
        <f>Données!D224</f>
        <v>70</v>
      </c>
      <c r="E224" s="248">
        <f>Données!E224</f>
        <v>1</v>
      </c>
      <c r="F224" s="249">
        <f>Données!F224</f>
        <v>4826490.8600000003</v>
      </c>
      <c r="G224" s="249">
        <f>Données!G224</f>
        <v>566265.31000000006</v>
      </c>
      <c r="H224" s="249">
        <f>Données!H224</f>
        <v>388559.65</v>
      </c>
      <c r="I224" s="249">
        <f>Données!I224</f>
        <v>64696.4</v>
      </c>
      <c r="J224" s="249">
        <f>Données!J224</f>
        <v>0</v>
      </c>
      <c r="K224" s="249">
        <f>Données!K224</f>
        <v>80698.33</v>
      </c>
      <c r="L224" s="249">
        <f>Données!L224</f>
        <v>-191435.79</v>
      </c>
      <c r="M224" s="249">
        <f>Données!M224</f>
        <v>0</v>
      </c>
      <c r="N224" s="249">
        <f>Données!N224</f>
        <v>43094.297165360345</v>
      </c>
      <c r="O224" s="249">
        <f>Données!O224</f>
        <v>613939.9</v>
      </c>
      <c r="P224" s="249">
        <f>Données!P224</f>
        <v>415143</v>
      </c>
      <c r="Q224" s="249">
        <f>Données!Q224</f>
        <v>67751.850000000006</v>
      </c>
      <c r="R224" s="249">
        <f>Données!R224</f>
        <v>-924.45</v>
      </c>
      <c r="S224" s="241"/>
      <c r="T224" s="233">
        <f t="shared" si="18"/>
        <v>5563426.2206679154</v>
      </c>
      <c r="U224" s="250">
        <f t="shared" si="19"/>
        <v>613939.9</v>
      </c>
      <c r="V224" s="250">
        <f t="shared" si="20"/>
        <v>481970.39999999997</v>
      </c>
      <c r="W224" s="251">
        <f t="shared" si="21"/>
        <v>6659336.5206679162</v>
      </c>
      <c r="X224" s="233">
        <f t="shared" si="22"/>
        <v>1501.8801354686325</v>
      </c>
      <c r="Y224" s="252">
        <f t="shared" si="23"/>
        <v>0.43807129804553668</v>
      </c>
    </row>
    <row r="225" spans="1:25" x14ac:dyDescent="0.25">
      <c r="A225" s="108">
        <f>Données!A225</f>
        <v>5765</v>
      </c>
      <c r="B225" s="116" t="str">
        <f>Données!B225</f>
        <v>Vaulion</v>
      </c>
      <c r="C225" s="246">
        <f>Données!C225</f>
        <v>500</v>
      </c>
      <c r="D225" s="247">
        <f>Données!D225</f>
        <v>81</v>
      </c>
      <c r="E225" s="248">
        <f>Données!E225</f>
        <v>0.5</v>
      </c>
      <c r="F225" s="249">
        <f>Données!F225</f>
        <v>594170.13</v>
      </c>
      <c r="G225" s="249">
        <f>Données!G225</f>
        <v>85692.43</v>
      </c>
      <c r="H225" s="249">
        <f>Données!H225</f>
        <v>16818.8</v>
      </c>
      <c r="I225" s="249">
        <f>Données!I225</f>
        <v>824.25</v>
      </c>
      <c r="J225" s="249">
        <f>Données!J225</f>
        <v>0</v>
      </c>
      <c r="K225" s="249">
        <f>Données!K225</f>
        <v>5432.36</v>
      </c>
      <c r="L225" s="249">
        <f>Données!L225</f>
        <v>-13081.53</v>
      </c>
      <c r="M225" s="249">
        <f>Données!M225</f>
        <v>0</v>
      </c>
      <c r="N225" s="249">
        <f>Données!N225</f>
        <v>1677.451055762655</v>
      </c>
      <c r="O225" s="249">
        <f>Données!O225</f>
        <v>35581.35</v>
      </c>
      <c r="P225" s="249">
        <f>Données!P225</f>
        <v>30245.61</v>
      </c>
      <c r="Q225" s="249">
        <f>Données!Q225</f>
        <v>0</v>
      </c>
      <c r="R225" s="249">
        <f>Données!R225</f>
        <v>-89</v>
      </c>
      <c r="S225" s="241"/>
      <c r="T225" s="233">
        <f t="shared" si="18"/>
        <v>575391.6391968166</v>
      </c>
      <c r="U225" s="250">
        <f t="shared" si="19"/>
        <v>71162.7</v>
      </c>
      <c r="V225" s="250">
        <f t="shared" si="20"/>
        <v>30156.61</v>
      </c>
      <c r="W225" s="251">
        <f t="shared" si="21"/>
        <v>676710.94919681654</v>
      </c>
      <c r="X225" s="233">
        <f t="shared" si="22"/>
        <v>1353.421898393633</v>
      </c>
      <c r="Y225" s="252">
        <f t="shared" si="23"/>
        <v>0.39476871278249631</v>
      </c>
    </row>
    <row r="226" spans="1:25" x14ac:dyDescent="0.25">
      <c r="A226" s="108">
        <f>Données!A226</f>
        <v>5766</v>
      </c>
      <c r="B226" s="116" t="str">
        <f>Données!B226</f>
        <v>Vuiteboeuf</v>
      </c>
      <c r="C226" s="246">
        <f>Données!C226</f>
        <v>616</v>
      </c>
      <c r="D226" s="247">
        <f>Données!D226</f>
        <v>75</v>
      </c>
      <c r="E226" s="248">
        <f>Données!E226</f>
        <v>0.7</v>
      </c>
      <c r="F226" s="249">
        <f>Données!F226</f>
        <v>869022.51</v>
      </c>
      <c r="G226" s="249">
        <f>Données!G226</f>
        <v>120705.65</v>
      </c>
      <c r="H226" s="249">
        <f>Données!H226</f>
        <v>-9159.75</v>
      </c>
      <c r="I226" s="249">
        <f>Données!I226</f>
        <v>3484.45</v>
      </c>
      <c r="J226" s="249">
        <f>Données!J226</f>
        <v>0</v>
      </c>
      <c r="K226" s="249">
        <f>Données!K226</f>
        <v>4890</v>
      </c>
      <c r="L226" s="249">
        <f>Données!L226</f>
        <v>-10415.11</v>
      </c>
      <c r="M226" s="249">
        <f>Données!M226</f>
        <v>0</v>
      </c>
      <c r="N226" s="249">
        <f>Données!N226</f>
        <v>-539.59139586238189</v>
      </c>
      <c r="O226" s="249">
        <f>Données!O226</f>
        <v>70762.95</v>
      </c>
      <c r="P226" s="249">
        <f>Données!P226</f>
        <v>30512.35</v>
      </c>
      <c r="Q226" s="249">
        <f>Données!Q226</f>
        <v>13709.8</v>
      </c>
      <c r="R226" s="249">
        <f>Données!R226</f>
        <v>-71.2</v>
      </c>
      <c r="S226" s="241"/>
      <c r="T226" s="233">
        <f t="shared" si="18"/>
        <v>878835.17254955426</v>
      </c>
      <c r="U226" s="250">
        <f t="shared" si="19"/>
        <v>101089.92857142858</v>
      </c>
      <c r="V226" s="250">
        <f t="shared" si="20"/>
        <v>44150.95</v>
      </c>
      <c r="W226" s="251">
        <f t="shared" si="21"/>
        <v>1024076.0511209827</v>
      </c>
      <c r="X226" s="233">
        <f t="shared" si="22"/>
        <v>1662.4611219496473</v>
      </c>
      <c r="Y226" s="252">
        <f t="shared" si="23"/>
        <v>0.48490987026436483</v>
      </c>
    </row>
    <row r="227" spans="1:25" x14ac:dyDescent="0.25">
      <c r="A227" s="108">
        <f>Données!A227</f>
        <v>5785</v>
      </c>
      <c r="B227" s="116" t="str">
        <f>Données!B227</f>
        <v>Corcelles-le-Jorat</v>
      </c>
      <c r="C227" s="246">
        <f>Données!C227</f>
        <v>495</v>
      </c>
      <c r="D227" s="247">
        <f>Données!D227</f>
        <v>75</v>
      </c>
      <c r="E227" s="248">
        <f>Données!E227</f>
        <v>1</v>
      </c>
      <c r="F227" s="249">
        <f>Données!F227</f>
        <v>1050240.33</v>
      </c>
      <c r="G227" s="249">
        <f>Données!G227</f>
        <v>210207.62</v>
      </c>
      <c r="H227" s="249">
        <f>Données!H227</f>
        <v>-16137.4</v>
      </c>
      <c r="I227" s="249">
        <f>Données!I227</f>
        <v>2926.1</v>
      </c>
      <c r="J227" s="249">
        <f>Données!J227</f>
        <v>0</v>
      </c>
      <c r="K227" s="249">
        <f>Données!K227</f>
        <v>623.55999999999995</v>
      </c>
      <c r="L227" s="249">
        <f>Données!L227</f>
        <v>-9955.7900000000009</v>
      </c>
      <c r="M227" s="249">
        <f>Données!M227</f>
        <v>0</v>
      </c>
      <c r="N227" s="249">
        <f>Données!N227</f>
        <v>-1256.0928599645279</v>
      </c>
      <c r="O227" s="249">
        <f>Données!O227</f>
        <v>91544.8</v>
      </c>
      <c r="P227" s="249">
        <f>Données!P227</f>
        <v>30897.45</v>
      </c>
      <c r="Q227" s="249">
        <f>Données!Q227</f>
        <v>1393.6</v>
      </c>
      <c r="R227" s="249">
        <f>Données!R227</f>
        <v>-7911.2</v>
      </c>
      <c r="S227" s="241"/>
      <c r="T227" s="233">
        <f t="shared" si="18"/>
        <v>1111271.1707229796</v>
      </c>
      <c r="U227" s="250">
        <f t="shared" si="19"/>
        <v>91544.8</v>
      </c>
      <c r="V227" s="250">
        <f t="shared" si="20"/>
        <v>24379.85</v>
      </c>
      <c r="W227" s="251">
        <f t="shared" si="21"/>
        <v>1227195.8207229797</v>
      </c>
      <c r="X227" s="233">
        <f t="shared" si="22"/>
        <v>2479.1834762080398</v>
      </c>
      <c r="Y227" s="252">
        <f t="shared" si="23"/>
        <v>0.72313302364613685</v>
      </c>
    </row>
    <row r="228" spans="1:25" x14ac:dyDescent="0.25">
      <c r="A228" s="108">
        <f>Données!A228</f>
        <v>5790</v>
      </c>
      <c r="B228" s="116" t="str">
        <f>Données!B228</f>
        <v>Maracon</v>
      </c>
      <c r="C228" s="246">
        <f>Données!C228</f>
        <v>565</v>
      </c>
      <c r="D228" s="247">
        <f>Données!D228</f>
        <v>74.5</v>
      </c>
      <c r="E228" s="248">
        <f>Données!E228</f>
        <v>1</v>
      </c>
      <c r="F228" s="249">
        <f>Données!F228</f>
        <v>1033696.4</v>
      </c>
      <c r="G228" s="249">
        <f>Données!G228</f>
        <v>170937.82</v>
      </c>
      <c r="H228" s="249">
        <f>Données!H228</f>
        <v>18240.599999999999</v>
      </c>
      <c r="I228" s="249">
        <f>Données!I228</f>
        <v>871.05</v>
      </c>
      <c r="J228" s="249">
        <f>Données!J228</f>
        <v>0</v>
      </c>
      <c r="K228" s="249">
        <f>Données!K228</f>
        <v>1037.67</v>
      </c>
      <c r="L228" s="249">
        <f>Données!L228</f>
        <v>-5023.8999999999996</v>
      </c>
      <c r="M228" s="249">
        <f>Données!M228</f>
        <v>0</v>
      </c>
      <c r="N228" s="249">
        <f>Données!N228</f>
        <v>1817.0813702770408</v>
      </c>
      <c r="O228" s="249">
        <f>Données!O228</f>
        <v>104687.75</v>
      </c>
      <c r="P228" s="249">
        <f>Données!P228</f>
        <v>1427.19</v>
      </c>
      <c r="Q228" s="249">
        <f>Données!Q228</f>
        <v>1468.6</v>
      </c>
      <c r="R228" s="249">
        <f>Données!R228</f>
        <v>-2235.75</v>
      </c>
      <c r="S228" s="241"/>
      <c r="T228" s="233">
        <f t="shared" si="18"/>
        <v>1105094.8937033813</v>
      </c>
      <c r="U228" s="250">
        <f t="shared" si="19"/>
        <v>104687.75</v>
      </c>
      <c r="V228" s="250">
        <f t="shared" si="20"/>
        <v>660.04</v>
      </c>
      <c r="W228" s="251">
        <f t="shared" si="21"/>
        <v>1210442.6837033813</v>
      </c>
      <c r="X228" s="233">
        <f t="shared" si="22"/>
        <v>2142.3764313334182</v>
      </c>
      <c r="Y228" s="252">
        <f t="shared" si="23"/>
        <v>0.62489249442236616</v>
      </c>
    </row>
    <row r="229" spans="1:25" x14ac:dyDescent="0.25">
      <c r="A229" s="108">
        <f>Données!A229</f>
        <v>5792</v>
      </c>
      <c r="B229" s="116" t="str">
        <f>Données!B229</f>
        <v>Montpreveyres</v>
      </c>
      <c r="C229" s="246">
        <f>Données!C229</f>
        <v>670</v>
      </c>
      <c r="D229" s="247">
        <f>Données!D229</f>
        <v>74.5</v>
      </c>
      <c r="E229" s="248">
        <f>Données!E229</f>
        <v>1</v>
      </c>
      <c r="F229" s="249">
        <f>Données!F229</f>
        <v>1284287.3899999999</v>
      </c>
      <c r="G229" s="249">
        <f>Données!G229</f>
        <v>218345</v>
      </c>
      <c r="H229" s="249">
        <f>Données!H229</f>
        <v>16291.4</v>
      </c>
      <c r="I229" s="249">
        <f>Données!I229</f>
        <v>2689</v>
      </c>
      <c r="J229" s="249">
        <f>Données!J229</f>
        <v>0</v>
      </c>
      <c r="K229" s="249">
        <f>Données!K229</f>
        <v>0</v>
      </c>
      <c r="L229" s="249">
        <f>Données!L229</f>
        <v>-2231.5</v>
      </c>
      <c r="M229" s="249">
        <f>Données!M229</f>
        <v>0</v>
      </c>
      <c r="N229" s="249">
        <f>Données!N229</f>
        <v>1804.6024932649118</v>
      </c>
      <c r="O229" s="249">
        <f>Données!O229</f>
        <v>124957.9</v>
      </c>
      <c r="P229" s="249">
        <f>Données!P229</f>
        <v>31672.92</v>
      </c>
      <c r="Q229" s="249">
        <f>Données!Q229</f>
        <v>1716.5</v>
      </c>
      <c r="R229" s="249">
        <f>Données!R229</f>
        <v>-132.75</v>
      </c>
      <c r="S229" s="241"/>
      <c r="T229" s="233">
        <f t="shared" si="18"/>
        <v>1376135.2297891211</v>
      </c>
      <c r="U229" s="250">
        <f t="shared" si="19"/>
        <v>124957.9</v>
      </c>
      <c r="V229" s="250">
        <f t="shared" si="20"/>
        <v>33256.67</v>
      </c>
      <c r="W229" s="251">
        <f t="shared" si="21"/>
        <v>1534349.7997891209</v>
      </c>
      <c r="X229" s="233">
        <f t="shared" si="22"/>
        <v>2290.074328043464</v>
      </c>
      <c r="Y229" s="252">
        <f t="shared" si="23"/>
        <v>0.66797330213953887</v>
      </c>
    </row>
    <row r="230" spans="1:25" x14ac:dyDescent="0.25">
      <c r="A230" s="108">
        <f>Données!A230</f>
        <v>5798</v>
      </c>
      <c r="B230" s="116" t="str">
        <f>Données!B230</f>
        <v>Ropraz</v>
      </c>
      <c r="C230" s="246">
        <f>Données!C230</f>
        <v>535</v>
      </c>
      <c r="D230" s="247">
        <f>Données!D230</f>
        <v>77.5</v>
      </c>
      <c r="E230" s="248">
        <f>Données!E230</f>
        <v>1</v>
      </c>
      <c r="F230" s="249">
        <f>Données!F230</f>
        <v>994303.78</v>
      </c>
      <c r="G230" s="249">
        <f>Données!G230</f>
        <v>106873.08</v>
      </c>
      <c r="H230" s="249">
        <f>Données!H230</f>
        <v>17495.45</v>
      </c>
      <c r="I230" s="249">
        <f>Données!I230</f>
        <v>4326.8500000000004</v>
      </c>
      <c r="J230" s="249">
        <f>Données!J230</f>
        <v>0</v>
      </c>
      <c r="K230" s="249">
        <f>Données!K230</f>
        <v>2598.54</v>
      </c>
      <c r="L230" s="249">
        <f>Données!L230</f>
        <v>-15776.86</v>
      </c>
      <c r="M230" s="249">
        <f>Données!M230</f>
        <v>0</v>
      </c>
      <c r="N230" s="249">
        <f>Données!N230</f>
        <v>2074.8022691184005</v>
      </c>
      <c r="O230" s="249">
        <f>Données!O230</f>
        <v>104038.3</v>
      </c>
      <c r="P230" s="249">
        <f>Données!P230</f>
        <v>39089.760000000002</v>
      </c>
      <c r="Q230" s="249">
        <f>Données!Q230</f>
        <v>11231.3</v>
      </c>
      <c r="R230" s="249">
        <f>Données!R230</f>
        <v>-298</v>
      </c>
      <c r="S230" s="241"/>
      <c r="T230" s="233">
        <f t="shared" si="18"/>
        <v>966935.31580907817</v>
      </c>
      <c r="U230" s="250">
        <f t="shared" si="19"/>
        <v>104038.3</v>
      </c>
      <c r="V230" s="250">
        <f t="shared" si="20"/>
        <v>50023.06</v>
      </c>
      <c r="W230" s="251">
        <f t="shared" si="21"/>
        <v>1120996.6758090782</v>
      </c>
      <c r="X230" s="233">
        <f t="shared" si="22"/>
        <v>2095.320889362763</v>
      </c>
      <c r="Y230" s="252">
        <f t="shared" si="23"/>
        <v>0.61116724307606685</v>
      </c>
    </row>
    <row r="231" spans="1:25" x14ac:dyDescent="0.25">
      <c r="A231" s="108">
        <f>Données!A231</f>
        <v>5799</v>
      </c>
      <c r="B231" s="116" t="str">
        <f>Données!B231</f>
        <v>Servion</v>
      </c>
      <c r="C231" s="246">
        <f>Données!C231</f>
        <v>2241</v>
      </c>
      <c r="D231" s="247">
        <f>Données!D231</f>
        <v>69</v>
      </c>
      <c r="E231" s="248">
        <f>Données!E231</f>
        <v>1</v>
      </c>
      <c r="F231" s="249">
        <f>Données!F231</f>
        <v>4407966.7699999996</v>
      </c>
      <c r="G231" s="249">
        <f>Données!G231</f>
        <v>629881.36</v>
      </c>
      <c r="H231" s="249">
        <f>Données!H231</f>
        <v>83301.149999999994</v>
      </c>
      <c r="I231" s="249">
        <f>Données!I231</f>
        <v>8697.2999999999993</v>
      </c>
      <c r="J231" s="249">
        <f>Données!J231</f>
        <v>0</v>
      </c>
      <c r="K231" s="249">
        <f>Données!K231</f>
        <v>3281.56</v>
      </c>
      <c r="L231" s="249">
        <f>Données!L231</f>
        <v>-132319.57999999999</v>
      </c>
      <c r="M231" s="249">
        <f>Données!M231</f>
        <v>0</v>
      </c>
      <c r="N231" s="249">
        <f>Données!N231</f>
        <v>8746.9511836687998</v>
      </c>
      <c r="O231" s="249">
        <f>Données!O231</f>
        <v>469101.65</v>
      </c>
      <c r="P231" s="249">
        <f>Données!P231</f>
        <v>83966.21</v>
      </c>
      <c r="Q231" s="249">
        <f>Données!Q231</f>
        <v>18072.099999999999</v>
      </c>
      <c r="R231" s="249">
        <f>Données!R231</f>
        <v>-761.91</v>
      </c>
      <c r="S231" s="241"/>
      <c r="T231" s="233">
        <f t="shared" si="18"/>
        <v>4893112.4833811577</v>
      </c>
      <c r="U231" s="250">
        <f t="shared" si="19"/>
        <v>469101.65</v>
      </c>
      <c r="V231" s="250">
        <f t="shared" si="20"/>
        <v>101276.4</v>
      </c>
      <c r="W231" s="251">
        <f t="shared" si="21"/>
        <v>5463490.5333811585</v>
      </c>
      <c r="X231" s="233">
        <f t="shared" si="22"/>
        <v>2437.9698944137253</v>
      </c>
      <c r="Y231" s="252">
        <f t="shared" si="23"/>
        <v>0.71111176652490349</v>
      </c>
    </row>
    <row r="232" spans="1:25" x14ac:dyDescent="0.25">
      <c r="A232" s="108">
        <f>Données!A232</f>
        <v>5803</v>
      </c>
      <c r="B232" s="116" t="str">
        <f>Données!B232</f>
        <v>Vulliens</v>
      </c>
      <c r="C232" s="246">
        <f>Données!C232</f>
        <v>630</v>
      </c>
      <c r="D232" s="247">
        <f>Données!D232</f>
        <v>74</v>
      </c>
      <c r="E232" s="248">
        <f>Données!E232</f>
        <v>1</v>
      </c>
      <c r="F232" s="249">
        <f>Données!F232</f>
        <v>1167011.3799999999</v>
      </c>
      <c r="G232" s="249">
        <f>Données!G232</f>
        <v>186143.12</v>
      </c>
      <c r="H232" s="249">
        <f>Données!H232</f>
        <v>8586.1</v>
      </c>
      <c r="I232" s="249">
        <f>Données!I232</f>
        <v>3522.75</v>
      </c>
      <c r="J232" s="249">
        <f>Données!J232</f>
        <v>0</v>
      </c>
      <c r="K232" s="249">
        <f>Données!K232</f>
        <v>10051.6</v>
      </c>
      <c r="L232" s="249">
        <f>Données!L232</f>
        <v>-37408.51</v>
      </c>
      <c r="M232" s="249">
        <f>Données!M232</f>
        <v>0</v>
      </c>
      <c r="N232" s="249">
        <f>Données!N232</f>
        <v>1151.2750469205509</v>
      </c>
      <c r="O232" s="249">
        <f>Données!O232</f>
        <v>115601</v>
      </c>
      <c r="P232" s="249">
        <f>Données!P232</f>
        <v>26087.58</v>
      </c>
      <c r="Q232" s="249">
        <f>Données!Q232</f>
        <v>0</v>
      </c>
      <c r="R232" s="249">
        <f>Données!R232</f>
        <v>-877.75</v>
      </c>
      <c r="S232" s="241"/>
      <c r="T232" s="233">
        <f t="shared" si="18"/>
        <v>1219558.6001314928</v>
      </c>
      <c r="U232" s="250">
        <f t="shared" si="19"/>
        <v>115601</v>
      </c>
      <c r="V232" s="250">
        <f t="shared" si="20"/>
        <v>25209.83</v>
      </c>
      <c r="W232" s="251">
        <f t="shared" si="21"/>
        <v>1360369.4301314929</v>
      </c>
      <c r="X232" s="233">
        <f t="shared" si="22"/>
        <v>2159.3165557642747</v>
      </c>
      <c r="Y232" s="252">
        <f t="shared" si="23"/>
        <v>0.62983362262775566</v>
      </c>
    </row>
    <row r="233" spans="1:25" x14ac:dyDescent="0.25">
      <c r="A233" s="108">
        <f>Données!A233</f>
        <v>5804</v>
      </c>
      <c r="B233" s="116" t="str">
        <f>Données!B233</f>
        <v>Jorat-Menthue</v>
      </c>
      <c r="C233" s="246">
        <f>Données!C233</f>
        <v>1564</v>
      </c>
      <c r="D233" s="247">
        <f>Données!D233</f>
        <v>70.5</v>
      </c>
      <c r="E233" s="248">
        <f>Données!E233</f>
        <v>1</v>
      </c>
      <c r="F233" s="249">
        <f>Données!F233</f>
        <v>2682856.85</v>
      </c>
      <c r="G233" s="249">
        <f>Données!G233</f>
        <v>406891.48</v>
      </c>
      <c r="H233" s="249">
        <f>Données!H233</f>
        <v>46254.15</v>
      </c>
      <c r="I233" s="249">
        <f>Données!I233</f>
        <v>2708.2</v>
      </c>
      <c r="J233" s="249">
        <f>Données!J233</f>
        <v>0</v>
      </c>
      <c r="K233" s="249">
        <f>Données!K233</f>
        <v>4569.2299999999996</v>
      </c>
      <c r="L233" s="249">
        <f>Données!L233</f>
        <v>-37349.620000000003</v>
      </c>
      <c r="M233" s="249">
        <f>Données!M233</f>
        <v>0</v>
      </c>
      <c r="N233" s="249">
        <f>Données!N233</f>
        <v>4655.2010961891865</v>
      </c>
      <c r="O233" s="249">
        <f>Données!O233</f>
        <v>291767.15000000002</v>
      </c>
      <c r="P233" s="249">
        <f>Données!P233</f>
        <v>49283.86</v>
      </c>
      <c r="Q233" s="249">
        <f>Données!Q233</f>
        <v>4043.95</v>
      </c>
      <c r="R233" s="249">
        <f>Données!R233</f>
        <v>-4010</v>
      </c>
      <c r="S233" s="241"/>
      <c r="T233" s="233">
        <f t="shared" si="18"/>
        <v>2973638.1631017514</v>
      </c>
      <c r="U233" s="250">
        <f t="shared" si="19"/>
        <v>291767.15000000002</v>
      </c>
      <c r="V233" s="250">
        <f t="shared" si="20"/>
        <v>49317.81</v>
      </c>
      <c r="W233" s="251">
        <f t="shared" si="21"/>
        <v>3314723.1231017513</v>
      </c>
      <c r="X233" s="233">
        <f t="shared" si="22"/>
        <v>2119.3881861264395</v>
      </c>
      <c r="Y233" s="252">
        <f t="shared" si="23"/>
        <v>0.61818723867007008</v>
      </c>
    </row>
    <row r="234" spans="1:25" x14ac:dyDescent="0.25">
      <c r="A234" s="108">
        <f>Données!A234</f>
        <v>5805</v>
      </c>
      <c r="B234" s="116" t="str">
        <f>Données!B234</f>
        <v>Oron</v>
      </c>
      <c r="C234" s="246">
        <f>Données!C234</f>
        <v>6451</v>
      </c>
      <c r="D234" s="247">
        <f>Données!D234</f>
        <v>69</v>
      </c>
      <c r="E234" s="248">
        <f>Données!E234</f>
        <v>1.1000000000000001</v>
      </c>
      <c r="F234" s="249">
        <f>Données!F234</f>
        <v>9439407.0299999993</v>
      </c>
      <c r="G234" s="249">
        <f>Données!G234</f>
        <v>1256246.43</v>
      </c>
      <c r="H234" s="249">
        <f>Données!H234</f>
        <v>236400</v>
      </c>
      <c r="I234" s="249">
        <f>Données!I234</f>
        <v>22289.3</v>
      </c>
      <c r="J234" s="249">
        <f>Données!J234</f>
        <v>41205.050000000003</v>
      </c>
      <c r="K234" s="249">
        <f>Données!K234</f>
        <v>77519.009999999995</v>
      </c>
      <c r="L234" s="249">
        <f>Données!L234</f>
        <v>-226997.49</v>
      </c>
      <c r="M234" s="249">
        <f>Données!M234</f>
        <v>0</v>
      </c>
      <c r="N234" s="249">
        <f>Données!N234</f>
        <v>24595.443497552984</v>
      </c>
      <c r="O234" s="249">
        <f>Données!O234</f>
        <v>1398905.2</v>
      </c>
      <c r="P234" s="249">
        <f>Données!P234</f>
        <v>268234.52</v>
      </c>
      <c r="Q234" s="249">
        <f>Données!Q234</f>
        <v>81623.100000000006</v>
      </c>
      <c r="R234" s="249">
        <f>Données!R234</f>
        <v>-2222.1</v>
      </c>
      <c r="S234" s="241"/>
      <c r="T234" s="233">
        <f t="shared" si="18"/>
        <v>10617985.046199143</v>
      </c>
      <c r="U234" s="250">
        <f t="shared" si="19"/>
        <v>1271731.9999999998</v>
      </c>
      <c r="V234" s="250">
        <f t="shared" si="20"/>
        <v>347635.52</v>
      </c>
      <c r="W234" s="251">
        <f t="shared" si="21"/>
        <v>12237352.566199142</v>
      </c>
      <c r="X234" s="233">
        <f t="shared" si="22"/>
        <v>1896.9698598975574</v>
      </c>
      <c r="Y234" s="252">
        <f t="shared" si="23"/>
        <v>0.55331183178561905</v>
      </c>
    </row>
    <row r="235" spans="1:25" x14ac:dyDescent="0.25">
      <c r="A235" s="108">
        <f>Données!A235</f>
        <v>5806</v>
      </c>
      <c r="B235" s="116" t="str">
        <f>Données!B235</f>
        <v>Jorat-Mézières</v>
      </c>
      <c r="C235" s="246">
        <f>Données!C235</f>
        <v>3209</v>
      </c>
      <c r="D235" s="247">
        <f>Données!D235</f>
        <v>71</v>
      </c>
      <c r="E235" s="248">
        <f>Données!E235</f>
        <v>1</v>
      </c>
      <c r="F235" s="249">
        <f>Données!F235</f>
        <v>5618420.1600000001</v>
      </c>
      <c r="G235" s="249">
        <f>Données!G235</f>
        <v>722401.43</v>
      </c>
      <c r="H235" s="249">
        <f>Données!H235</f>
        <v>195280.2</v>
      </c>
      <c r="I235" s="249">
        <f>Données!I235</f>
        <v>10940.8</v>
      </c>
      <c r="J235" s="249">
        <f>Données!J235</f>
        <v>52354.65</v>
      </c>
      <c r="K235" s="249">
        <f>Données!K235</f>
        <v>19569.169999999998</v>
      </c>
      <c r="L235" s="249">
        <f>Données!L235</f>
        <v>-48519.29</v>
      </c>
      <c r="M235" s="249">
        <f>Données!M235</f>
        <v>0</v>
      </c>
      <c r="N235" s="249">
        <f>Données!N235</f>
        <v>19606.906638615801</v>
      </c>
      <c r="O235" s="249">
        <f>Données!O235</f>
        <v>627283</v>
      </c>
      <c r="P235" s="249">
        <f>Données!P235</f>
        <v>93436.63</v>
      </c>
      <c r="Q235" s="249">
        <f>Données!Q235</f>
        <v>40158.550000000003</v>
      </c>
      <c r="R235" s="249">
        <f>Données!R235</f>
        <v>-5396.4</v>
      </c>
      <c r="S235" s="241"/>
      <c r="T235" s="233">
        <f t="shared" si="18"/>
        <v>6255553.2181098107</v>
      </c>
      <c r="U235" s="250">
        <f t="shared" si="19"/>
        <v>627283</v>
      </c>
      <c r="V235" s="250">
        <f t="shared" si="20"/>
        <v>128198.78</v>
      </c>
      <c r="W235" s="251">
        <f t="shared" si="21"/>
        <v>7011034.998109811</v>
      </c>
      <c r="X235" s="233">
        <f t="shared" si="22"/>
        <v>2184.8036765689658</v>
      </c>
      <c r="Y235" s="252">
        <f t="shared" si="23"/>
        <v>0.63726775523972379</v>
      </c>
    </row>
    <row r="236" spans="1:25" x14ac:dyDescent="0.25">
      <c r="A236" s="108">
        <f>Données!A236</f>
        <v>5812</v>
      </c>
      <c r="B236" s="116" t="str">
        <f>Données!B236</f>
        <v>Champtauroz</v>
      </c>
      <c r="C236" s="246">
        <f>Données!C236</f>
        <v>184</v>
      </c>
      <c r="D236" s="247">
        <f>Données!D236</f>
        <v>77</v>
      </c>
      <c r="E236" s="248">
        <f>Données!E236</f>
        <v>0.8</v>
      </c>
      <c r="F236" s="249">
        <f>Données!F236</f>
        <v>259231.86</v>
      </c>
      <c r="G236" s="249">
        <f>Données!G236</f>
        <v>25943.200000000001</v>
      </c>
      <c r="H236" s="249">
        <f>Données!H236</f>
        <v>3490.25</v>
      </c>
      <c r="I236" s="249">
        <f>Données!I236</f>
        <v>526.79999999999995</v>
      </c>
      <c r="J236" s="249">
        <f>Données!J236</f>
        <v>0</v>
      </c>
      <c r="K236" s="249">
        <f>Données!K236</f>
        <v>64.239999999999995</v>
      </c>
      <c r="L236" s="249">
        <f>Données!L236</f>
        <v>-7018.41</v>
      </c>
      <c r="M236" s="249">
        <f>Données!M236</f>
        <v>0</v>
      </c>
      <c r="N236" s="249">
        <f>Données!N236</f>
        <v>381.92969829770783</v>
      </c>
      <c r="O236" s="249">
        <f>Données!O236</f>
        <v>21367</v>
      </c>
      <c r="P236" s="249">
        <f>Données!P236</f>
        <v>3627.21</v>
      </c>
      <c r="Q236" s="249">
        <f>Données!Q236</f>
        <v>894.75</v>
      </c>
      <c r="R236" s="249">
        <f>Données!R236</f>
        <v>-71.25</v>
      </c>
      <c r="S236" s="241"/>
      <c r="T236" s="233">
        <f t="shared" si="18"/>
        <v>247370.01959080072</v>
      </c>
      <c r="U236" s="250">
        <f t="shared" si="19"/>
        <v>26708.75</v>
      </c>
      <c r="V236" s="250">
        <f t="shared" si="20"/>
        <v>4450.71</v>
      </c>
      <c r="W236" s="251">
        <f t="shared" si="21"/>
        <v>278529.47959080077</v>
      </c>
      <c r="X236" s="233">
        <f t="shared" si="22"/>
        <v>1513.7471716891346</v>
      </c>
      <c r="Y236" s="252">
        <f t="shared" si="23"/>
        <v>0.44153269808559154</v>
      </c>
    </row>
    <row r="237" spans="1:25" x14ac:dyDescent="0.25">
      <c r="A237" s="108">
        <f>Données!A237</f>
        <v>5813</v>
      </c>
      <c r="B237" s="116" t="str">
        <f>Données!B237</f>
        <v>Chevroux</v>
      </c>
      <c r="C237" s="246">
        <f>Données!C237</f>
        <v>487</v>
      </c>
      <c r="D237" s="247">
        <f>Données!D237</f>
        <v>68.5</v>
      </c>
      <c r="E237" s="248">
        <f>Données!E237</f>
        <v>1.2</v>
      </c>
      <c r="F237" s="249">
        <f>Données!F237</f>
        <v>1171559.17</v>
      </c>
      <c r="G237" s="249">
        <f>Données!G237</f>
        <v>140333.82999999999</v>
      </c>
      <c r="H237" s="249">
        <f>Données!H237</f>
        <v>29867.5</v>
      </c>
      <c r="I237" s="249">
        <f>Données!I237</f>
        <v>520.20000000000005</v>
      </c>
      <c r="J237" s="249">
        <f>Données!J237</f>
        <v>0</v>
      </c>
      <c r="K237" s="249">
        <f>Données!K237</f>
        <v>516.03</v>
      </c>
      <c r="L237" s="249">
        <f>Données!L237</f>
        <v>-7165.85</v>
      </c>
      <c r="M237" s="249">
        <f>Données!M237</f>
        <v>0</v>
      </c>
      <c r="N237" s="249">
        <f>Données!N237</f>
        <v>2889.1761598589151</v>
      </c>
      <c r="O237" s="249">
        <f>Données!O237</f>
        <v>128185.15</v>
      </c>
      <c r="P237" s="249">
        <f>Données!P237</f>
        <v>5835.09</v>
      </c>
      <c r="Q237" s="249">
        <f>Données!Q237</f>
        <v>0</v>
      </c>
      <c r="R237" s="249">
        <f>Données!R237</f>
        <v>0</v>
      </c>
      <c r="S237" s="241"/>
      <c r="T237" s="233">
        <f t="shared" si="18"/>
        <v>1316950.3689052756</v>
      </c>
      <c r="U237" s="250">
        <f t="shared" si="19"/>
        <v>106820.95833333333</v>
      </c>
      <c r="V237" s="250">
        <f t="shared" si="20"/>
        <v>5835.09</v>
      </c>
      <c r="W237" s="251">
        <f t="shared" si="21"/>
        <v>1429606.4172386089</v>
      </c>
      <c r="X237" s="233">
        <f t="shared" si="22"/>
        <v>2935.5367910443715</v>
      </c>
      <c r="Y237" s="252">
        <f t="shared" si="23"/>
        <v>0.85624303973630611</v>
      </c>
    </row>
    <row r="238" spans="1:25" x14ac:dyDescent="0.25">
      <c r="A238" s="108">
        <f>Données!A238</f>
        <v>5816</v>
      </c>
      <c r="B238" s="116" t="str">
        <f>Données!B238</f>
        <v>Corcelles-près-Payerne</v>
      </c>
      <c r="C238" s="246">
        <f>Données!C238</f>
        <v>3129</v>
      </c>
      <c r="D238" s="247">
        <f>Données!D238</f>
        <v>65</v>
      </c>
      <c r="E238" s="248">
        <f>Données!E238</f>
        <v>0.7</v>
      </c>
      <c r="F238" s="249">
        <f>Données!F238</f>
        <v>3457357.46</v>
      </c>
      <c r="G238" s="249">
        <f>Données!G238</f>
        <v>390523.24</v>
      </c>
      <c r="H238" s="249">
        <f>Données!H238</f>
        <v>183025.85</v>
      </c>
      <c r="I238" s="249">
        <f>Données!I238</f>
        <v>20078.25</v>
      </c>
      <c r="J238" s="249">
        <f>Données!J238</f>
        <v>0</v>
      </c>
      <c r="K238" s="249">
        <f>Données!K238</f>
        <v>10140.41</v>
      </c>
      <c r="L238" s="249">
        <f>Données!L238</f>
        <v>-106722.39</v>
      </c>
      <c r="M238" s="249">
        <f>Données!M238</f>
        <v>0</v>
      </c>
      <c r="N238" s="249">
        <f>Données!N238</f>
        <v>19310.56064426071</v>
      </c>
      <c r="O238" s="249">
        <f>Données!O238</f>
        <v>330150.40000000002</v>
      </c>
      <c r="P238" s="249">
        <f>Données!P238</f>
        <v>218812.55</v>
      </c>
      <c r="Q238" s="249">
        <f>Données!Q238</f>
        <v>29555.05</v>
      </c>
      <c r="R238" s="249">
        <f>Données!R238</f>
        <v>-167.9</v>
      </c>
      <c r="S238" s="241"/>
      <c r="T238" s="233">
        <f t="shared" si="18"/>
        <v>4120199.8209876544</v>
      </c>
      <c r="U238" s="250">
        <f t="shared" si="19"/>
        <v>471643.42857142864</v>
      </c>
      <c r="V238" s="250">
        <f t="shared" si="20"/>
        <v>248199.69999999998</v>
      </c>
      <c r="W238" s="251">
        <f t="shared" si="21"/>
        <v>4840042.9495590832</v>
      </c>
      <c r="X238" s="233">
        <f t="shared" si="22"/>
        <v>1546.8337965992596</v>
      </c>
      <c r="Y238" s="252">
        <f t="shared" si="23"/>
        <v>0.45118346872968262</v>
      </c>
    </row>
    <row r="239" spans="1:25" x14ac:dyDescent="0.25">
      <c r="A239" s="108">
        <f>Données!A239</f>
        <v>5817</v>
      </c>
      <c r="B239" s="116" t="str">
        <f>Données!B239</f>
        <v>Grandcour</v>
      </c>
      <c r="C239" s="246">
        <f>Données!C239</f>
        <v>970</v>
      </c>
      <c r="D239" s="247">
        <f>Données!D239</f>
        <v>72</v>
      </c>
      <c r="E239" s="248">
        <f>Données!E239</f>
        <v>1</v>
      </c>
      <c r="F239" s="249">
        <f>Données!F239</f>
        <v>1393144.07</v>
      </c>
      <c r="G239" s="249">
        <f>Données!G239</f>
        <v>184744.42</v>
      </c>
      <c r="H239" s="249">
        <f>Données!H239</f>
        <v>30977.1</v>
      </c>
      <c r="I239" s="249">
        <f>Données!I239</f>
        <v>2585.65</v>
      </c>
      <c r="J239" s="249">
        <f>Données!J239</f>
        <v>0</v>
      </c>
      <c r="K239" s="249">
        <f>Données!K239</f>
        <v>0</v>
      </c>
      <c r="L239" s="249">
        <f>Données!L239</f>
        <v>-22791.84</v>
      </c>
      <c r="M239" s="249">
        <f>Données!M239</f>
        <v>0</v>
      </c>
      <c r="N239" s="249">
        <f>Données!N239</f>
        <v>3191.0508909626201</v>
      </c>
      <c r="O239" s="249">
        <f>Données!O239</f>
        <v>149542.65</v>
      </c>
      <c r="P239" s="249">
        <f>Données!P239</f>
        <v>47950.71</v>
      </c>
      <c r="Q239" s="249">
        <f>Données!Q239</f>
        <v>9063.15</v>
      </c>
      <c r="R239" s="249">
        <f>Données!R239</f>
        <v>-122.1</v>
      </c>
      <c r="S239" s="241"/>
      <c r="T239" s="233">
        <f t="shared" si="18"/>
        <v>1490063.8040428958</v>
      </c>
      <c r="U239" s="250">
        <f t="shared" si="19"/>
        <v>149542.65</v>
      </c>
      <c r="V239" s="250">
        <f t="shared" si="20"/>
        <v>56891.76</v>
      </c>
      <c r="W239" s="251">
        <f t="shared" si="21"/>
        <v>1696498.2140428957</v>
      </c>
      <c r="X239" s="233">
        <f t="shared" si="22"/>
        <v>1748.9672309720575</v>
      </c>
      <c r="Y239" s="252">
        <f t="shared" si="23"/>
        <v>0.51014213918740459</v>
      </c>
    </row>
    <row r="240" spans="1:25" x14ac:dyDescent="0.25">
      <c r="A240" s="108">
        <f>Données!A240</f>
        <v>5819</v>
      </c>
      <c r="B240" s="116" t="str">
        <f>Données!B240</f>
        <v>Henniez</v>
      </c>
      <c r="C240" s="246">
        <f>Données!C240</f>
        <v>464</v>
      </c>
      <c r="D240" s="247">
        <f>Données!D240</f>
        <v>69</v>
      </c>
      <c r="E240" s="248">
        <f>Données!E240</f>
        <v>1</v>
      </c>
      <c r="F240" s="249">
        <f>Données!F240</f>
        <v>633092.22</v>
      </c>
      <c r="G240" s="249">
        <f>Données!G240</f>
        <v>196240.06</v>
      </c>
      <c r="H240" s="249">
        <f>Données!H240</f>
        <v>32501.9</v>
      </c>
      <c r="I240" s="249">
        <f>Données!I240</f>
        <v>5808.75</v>
      </c>
      <c r="J240" s="249">
        <f>Données!J240</f>
        <v>0</v>
      </c>
      <c r="K240" s="249">
        <f>Données!K240</f>
        <v>18092.400000000001</v>
      </c>
      <c r="L240" s="249">
        <f>Données!L240</f>
        <v>-112325.37</v>
      </c>
      <c r="M240" s="249">
        <f>Données!M240</f>
        <v>0</v>
      </c>
      <c r="N240" s="249">
        <f>Données!N240</f>
        <v>3642.4677303217736</v>
      </c>
      <c r="O240" s="249">
        <f>Données!O240</f>
        <v>105245.27</v>
      </c>
      <c r="P240" s="249">
        <f>Données!P240</f>
        <v>12069.22</v>
      </c>
      <c r="Q240" s="249">
        <f>Données!Q240</f>
        <v>2259.15</v>
      </c>
      <c r="R240" s="249">
        <f>Données!R240</f>
        <v>-94.65</v>
      </c>
      <c r="S240" s="241"/>
      <c r="T240" s="233">
        <f t="shared" si="18"/>
        <v>758990.47847270605</v>
      </c>
      <c r="U240" s="250">
        <f t="shared" si="19"/>
        <v>105245.27</v>
      </c>
      <c r="V240" s="250">
        <f t="shared" si="20"/>
        <v>14233.72</v>
      </c>
      <c r="W240" s="251">
        <f t="shared" si="21"/>
        <v>878469.46847270604</v>
      </c>
      <c r="X240" s="233">
        <f t="shared" si="22"/>
        <v>1893.2531648118666</v>
      </c>
      <c r="Y240" s="252">
        <f t="shared" si="23"/>
        <v>0.55222773898608279</v>
      </c>
    </row>
    <row r="241" spans="1:25" x14ac:dyDescent="0.25">
      <c r="A241" s="108">
        <f>Données!A241</f>
        <v>5821</v>
      </c>
      <c r="B241" s="116" t="str">
        <f>Données!B241</f>
        <v>Missy</v>
      </c>
      <c r="C241" s="246">
        <f>Données!C241</f>
        <v>379</v>
      </c>
      <c r="D241" s="247">
        <f>Données!D241</f>
        <v>69</v>
      </c>
      <c r="E241" s="248">
        <f>Données!E241</f>
        <v>1</v>
      </c>
      <c r="F241" s="249">
        <f>Données!F241</f>
        <v>501688.86</v>
      </c>
      <c r="G241" s="249">
        <f>Données!G241</f>
        <v>72533.070000000007</v>
      </c>
      <c r="H241" s="249">
        <f>Données!H241</f>
        <v>6046.9</v>
      </c>
      <c r="I241" s="249">
        <f>Données!I241</f>
        <v>1247.1500000000001</v>
      </c>
      <c r="J241" s="249">
        <f>Données!J241</f>
        <v>0</v>
      </c>
      <c r="K241" s="249">
        <f>Données!K241</f>
        <v>0</v>
      </c>
      <c r="L241" s="249">
        <f>Données!L241</f>
        <v>-13213.06</v>
      </c>
      <c r="M241" s="249">
        <f>Données!M241</f>
        <v>0</v>
      </c>
      <c r="N241" s="249">
        <f>Données!N241</f>
        <v>693.49754567864363</v>
      </c>
      <c r="O241" s="249">
        <f>Données!O241</f>
        <v>55814.6</v>
      </c>
      <c r="P241" s="249">
        <f>Données!P241</f>
        <v>17590.46</v>
      </c>
      <c r="Q241" s="249">
        <f>Données!Q241</f>
        <v>1460</v>
      </c>
      <c r="R241" s="249">
        <f>Données!R241</f>
        <v>-53.95</v>
      </c>
      <c r="S241" s="241"/>
      <c r="T241" s="233">
        <f t="shared" si="18"/>
        <v>555770.56037733576</v>
      </c>
      <c r="U241" s="250">
        <f t="shared" si="19"/>
        <v>55814.6</v>
      </c>
      <c r="V241" s="250">
        <f t="shared" si="20"/>
        <v>18996.509999999998</v>
      </c>
      <c r="W241" s="251">
        <f t="shared" si="21"/>
        <v>630581.67037733574</v>
      </c>
      <c r="X241" s="233">
        <f t="shared" si="22"/>
        <v>1663.8038796235771</v>
      </c>
      <c r="Y241" s="252">
        <f t="shared" si="23"/>
        <v>0.48530152841556307</v>
      </c>
    </row>
    <row r="242" spans="1:25" x14ac:dyDescent="0.25">
      <c r="A242" s="108">
        <f>Données!A242</f>
        <v>5822</v>
      </c>
      <c r="B242" s="116" t="str">
        <f>Données!B242</f>
        <v>Payerne</v>
      </c>
      <c r="C242" s="246">
        <f>Données!C242</f>
        <v>10972</v>
      </c>
      <c r="D242" s="247">
        <f>Données!D242</f>
        <v>70</v>
      </c>
      <c r="E242" s="248">
        <f>Données!E242</f>
        <v>1</v>
      </c>
      <c r="F242" s="249">
        <f>Données!F242</f>
        <v>12502391.800000001</v>
      </c>
      <c r="G242" s="249">
        <f>Données!G242</f>
        <v>1499607.85</v>
      </c>
      <c r="H242" s="249">
        <f>Données!H242</f>
        <v>1173061.7</v>
      </c>
      <c r="I242" s="249">
        <f>Données!I242</f>
        <v>74919</v>
      </c>
      <c r="J242" s="249">
        <f>Données!J242</f>
        <v>0</v>
      </c>
      <c r="K242" s="249">
        <f>Données!K242</f>
        <v>124148.82</v>
      </c>
      <c r="L242" s="249">
        <f>Données!L242</f>
        <v>-519176.57999999996</v>
      </c>
      <c r="M242" s="249">
        <f>Données!M242</f>
        <v>0</v>
      </c>
      <c r="N242" s="249">
        <f>Données!N242</f>
        <v>118654.45842903678</v>
      </c>
      <c r="O242" s="249">
        <f>Données!O242</f>
        <v>1741289.15</v>
      </c>
      <c r="P242" s="249">
        <f>Données!P242</f>
        <v>934648.48</v>
      </c>
      <c r="Q242" s="249">
        <f>Données!Q242</f>
        <v>34846.699999999997</v>
      </c>
      <c r="R242" s="249">
        <f>Données!R242</f>
        <v>-1932.3</v>
      </c>
      <c r="S242" s="241"/>
      <c r="T242" s="233">
        <f t="shared" si="18"/>
        <v>14416621.238116961</v>
      </c>
      <c r="U242" s="250">
        <f t="shared" si="19"/>
        <v>1741289.15</v>
      </c>
      <c r="V242" s="250">
        <f t="shared" si="20"/>
        <v>967562.87999999989</v>
      </c>
      <c r="W242" s="251">
        <f t="shared" si="21"/>
        <v>17125473.268116962</v>
      </c>
      <c r="X242" s="233">
        <f t="shared" si="22"/>
        <v>1560.8342388003064</v>
      </c>
      <c r="Y242" s="252">
        <f t="shared" si="23"/>
        <v>0.45526714474575186</v>
      </c>
    </row>
    <row r="243" spans="1:25" x14ac:dyDescent="0.25">
      <c r="A243" s="108">
        <f>Données!A243</f>
        <v>5827</v>
      </c>
      <c r="B243" s="116" t="str">
        <f>Données!B243</f>
        <v>Trey</v>
      </c>
      <c r="C243" s="246">
        <f>Données!C243</f>
        <v>305</v>
      </c>
      <c r="D243" s="247">
        <f>Données!D243</f>
        <v>78</v>
      </c>
      <c r="E243" s="248">
        <f>Données!E243</f>
        <v>1</v>
      </c>
      <c r="F243" s="249">
        <f>Données!F243</f>
        <v>532845.63</v>
      </c>
      <c r="G243" s="249">
        <f>Données!G243</f>
        <v>66536.789999999994</v>
      </c>
      <c r="H243" s="249">
        <f>Données!H243</f>
        <v>8060.8</v>
      </c>
      <c r="I243" s="249">
        <f>Données!I243</f>
        <v>1456.05</v>
      </c>
      <c r="J243" s="249">
        <f>Données!J243</f>
        <v>0</v>
      </c>
      <c r="K243" s="249">
        <f>Données!K243</f>
        <v>0</v>
      </c>
      <c r="L243" s="249">
        <f>Données!L243</f>
        <v>-19810.84</v>
      </c>
      <c r="M243" s="249">
        <f>Données!M243</f>
        <v>0</v>
      </c>
      <c r="N243" s="249">
        <f>Données!N243</f>
        <v>904.83505289815673</v>
      </c>
      <c r="O243" s="249">
        <f>Données!O243</f>
        <v>48146.7</v>
      </c>
      <c r="P243" s="249">
        <f>Données!P243</f>
        <v>10134.370000000001</v>
      </c>
      <c r="Q243" s="249">
        <f>Données!Q243</f>
        <v>1659.35</v>
      </c>
      <c r="R243" s="249">
        <f>Données!R243</f>
        <v>0</v>
      </c>
      <c r="S243" s="241"/>
      <c r="T243" s="233">
        <f t="shared" si="18"/>
        <v>509785.58177170117</v>
      </c>
      <c r="U243" s="250">
        <f t="shared" si="19"/>
        <v>48146.7</v>
      </c>
      <c r="V243" s="250">
        <f t="shared" si="20"/>
        <v>11793.720000000001</v>
      </c>
      <c r="W243" s="251">
        <f t="shared" si="21"/>
        <v>569726.00177170115</v>
      </c>
      <c r="X243" s="233">
        <f t="shared" si="22"/>
        <v>1867.954104169512</v>
      </c>
      <c r="Y243" s="252">
        <f t="shared" si="23"/>
        <v>0.54484846012540944</v>
      </c>
    </row>
    <row r="244" spans="1:25" x14ac:dyDescent="0.25">
      <c r="A244" s="108">
        <f>Données!A244</f>
        <v>5828</v>
      </c>
      <c r="B244" s="116" t="str">
        <f>Données!B244</f>
        <v>Treytorrens (Payerne)</v>
      </c>
      <c r="C244" s="246">
        <f>Données!C244</f>
        <v>108</v>
      </c>
      <c r="D244" s="247">
        <f>Données!D244</f>
        <v>81.5</v>
      </c>
      <c r="E244" s="248">
        <f>Données!E244</f>
        <v>1.5</v>
      </c>
      <c r="F244" s="249">
        <f>Données!F244</f>
        <v>189714.39</v>
      </c>
      <c r="G244" s="249">
        <f>Données!G244</f>
        <v>76480.61</v>
      </c>
      <c r="H244" s="249">
        <f>Données!H244</f>
        <v>-34.799999999999997</v>
      </c>
      <c r="I244" s="249">
        <f>Données!I244</f>
        <v>923.45</v>
      </c>
      <c r="J244" s="249">
        <f>Données!J244</f>
        <v>0</v>
      </c>
      <c r="K244" s="249">
        <f>Données!K244</f>
        <v>1736.93</v>
      </c>
      <c r="L244" s="249">
        <f>Données!L244</f>
        <v>-1907.78</v>
      </c>
      <c r="M244" s="249">
        <f>Données!M244</f>
        <v>0</v>
      </c>
      <c r="N244" s="249">
        <f>Données!N244</f>
        <v>84.490316623457034</v>
      </c>
      <c r="O244" s="249">
        <f>Données!O244</f>
        <v>29128.799999999999</v>
      </c>
      <c r="P244" s="249">
        <f>Données!P244</f>
        <v>0</v>
      </c>
      <c r="Q244" s="249">
        <f>Données!Q244</f>
        <v>0</v>
      </c>
      <c r="R244" s="249">
        <f>Données!R244</f>
        <v>-145.15</v>
      </c>
      <c r="S244" s="241"/>
      <c r="T244" s="233">
        <f t="shared" si="18"/>
        <v>220792.51269005871</v>
      </c>
      <c r="U244" s="250">
        <f t="shared" si="19"/>
        <v>19419.2</v>
      </c>
      <c r="V244" s="250">
        <f t="shared" si="20"/>
        <v>-145.15</v>
      </c>
      <c r="W244" s="251">
        <f t="shared" si="21"/>
        <v>240066.56269005872</v>
      </c>
      <c r="X244" s="233">
        <f t="shared" si="22"/>
        <v>2222.8385434264696</v>
      </c>
      <c r="Y244" s="252">
        <f t="shared" si="23"/>
        <v>0.64836183865008656</v>
      </c>
    </row>
    <row r="245" spans="1:25" x14ac:dyDescent="0.25">
      <c r="A245" s="108">
        <f>Données!A245</f>
        <v>5830</v>
      </c>
      <c r="B245" s="116" t="str">
        <f>Données!B245</f>
        <v>Villarzel</v>
      </c>
      <c r="C245" s="246">
        <f>Données!C245</f>
        <v>522</v>
      </c>
      <c r="D245" s="247">
        <f>Données!D245</f>
        <v>75</v>
      </c>
      <c r="E245" s="248">
        <f>Données!E245</f>
        <v>1</v>
      </c>
      <c r="F245" s="249">
        <f>Données!F245</f>
        <v>828635.36</v>
      </c>
      <c r="G245" s="249">
        <f>Données!G245</f>
        <v>143066.85</v>
      </c>
      <c r="H245" s="249">
        <f>Données!H245</f>
        <v>3589.5</v>
      </c>
      <c r="I245" s="249">
        <f>Données!I245</f>
        <v>1088.05</v>
      </c>
      <c r="J245" s="249">
        <f>Données!J245</f>
        <v>0</v>
      </c>
      <c r="K245" s="249">
        <f>Données!K245</f>
        <v>0</v>
      </c>
      <c r="L245" s="249">
        <f>Données!L245</f>
        <v>-18834.8</v>
      </c>
      <c r="M245" s="249">
        <f>Données!M245</f>
        <v>0</v>
      </c>
      <c r="N245" s="249">
        <f>Données!N245</f>
        <v>444.72816128065205</v>
      </c>
      <c r="O245" s="249">
        <f>Données!O245</f>
        <v>72664.399999999994</v>
      </c>
      <c r="P245" s="249">
        <f>Données!P245</f>
        <v>17290.55</v>
      </c>
      <c r="Q245" s="249">
        <f>Données!Q245</f>
        <v>1561.7</v>
      </c>
      <c r="R245" s="249">
        <f>Données!R245</f>
        <v>-55.75</v>
      </c>
      <c r="S245" s="241"/>
      <c r="T245" s="233">
        <f t="shared" si="18"/>
        <v>860864.24001039111</v>
      </c>
      <c r="U245" s="250">
        <f t="shared" si="19"/>
        <v>72664.399999999994</v>
      </c>
      <c r="V245" s="250">
        <f t="shared" si="20"/>
        <v>18796.5</v>
      </c>
      <c r="W245" s="251">
        <f t="shared" si="21"/>
        <v>952325.14001039113</v>
      </c>
      <c r="X245" s="233">
        <f t="shared" si="22"/>
        <v>1824.3776628551554</v>
      </c>
      <c r="Y245" s="252">
        <f t="shared" si="23"/>
        <v>0.53213799957668606</v>
      </c>
    </row>
    <row r="246" spans="1:25" x14ac:dyDescent="0.25">
      <c r="A246" s="108">
        <f>Données!A246</f>
        <v>5831</v>
      </c>
      <c r="B246" s="116" t="str">
        <f>Données!B246</f>
        <v>Valbroye</v>
      </c>
      <c r="C246" s="246">
        <f>Données!C246</f>
        <v>3416</v>
      </c>
      <c r="D246" s="247">
        <f>Données!D246</f>
        <v>70.5</v>
      </c>
      <c r="E246" s="248">
        <f>Données!E246</f>
        <v>0.6</v>
      </c>
      <c r="F246" s="249">
        <f>Données!F246</f>
        <v>4938826.58</v>
      </c>
      <c r="G246" s="249">
        <f>Données!G246</f>
        <v>748374.14</v>
      </c>
      <c r="H246" s="249">
        <f>Données!H246</f>
        <v>328471.34999999998</v>
      </c>
      <c r="I246" s="249">
        <f>Données!I246</f>
        <v>15517.8</v>
      </c>
      <c r="J246" s="249">
        <f>Données!J246</f>
        <v>0</v>
      </c>
      <c r="K246" s="249">
        <f>Données!K246</f>
        <v>18070.91</v>
      </c>
      <c r="L246" s="249">
        <f>Données!L246</f>
        <v>-89081.78</v>
      </c>
      <c r="M246" s="249">
        <f>Données!M246</f>
        <v>0</v>
      </c>
      <c r="N246" s="249">
        <f>Données!N246</f>
        <v>32705.510829385978</v>
      </c>
      <c r="O246" s="249">
        <f>Données!O246</f>
        <v>343361.05</v>
      </c>
      <c r="P246" s="249">
        <f>Données!P246</f>
        <v>187925.14</v>
      </c>
      <c r="Q246" s="249">
        <f>Données!Q246</f>
        <v>37229.800000000003</v>
      </c>
      <c r="R246" s="249">
        <f>Données!R246</f>
        <v>-2176.1999999999998</v>
      </c>
      <c r="S246" s="241"/>
      <c r="T246" s="233">
        <f t="shared" si="18"/>
        <v>5729040.4457533546</v>
      </c>
      <c r="U246" s="250">
        <f t="shared" si="19"/>
        <v>572268.41666666663</v>
      </c>
      <c r="V246" s="250">
        <f t="shared" si="20"/>
        <v>222978.74</v>
      </c>
      <c r="W246" s="251">
        <f t="shared" si="21"/>
        <v>6524287.6024200218</v>
      </c>
      <c r="X246" s="233">
        <f t="shared" si="22"/>
        <v>1909.9202583196784</v>
      </c>
      <c r="Y246" s="252">
        <f t="shared" si="23"/>
        <v>0.55708922900461566</v>
      </c>
    </row>
    <row r="247" spans="1:25" x14ac:dyDescent="0.25">
      <c r="A247" s="108">
        <f>Données!A247</f>
        <v>5841</v>
      </c>
      <c r="B247" s="116" t="str">
        <f>Données!B247</f>
        <v>Château-d'Oex</v>
      </c>
      <c r="C247" s="246">
        <f>Données!C247</f>
        <v>3689</v>
      </c>
      <c r="D247" s="247">
        <f>Données!D247</f>
        <v>81.5</v>
      </c>
      <c r="E247" s="248">
        <f>Données!E247</f>
        <v>1.5</v>
      </c>
      <c r="F247" s="249">
        <f>Données!F247</f>
        <v>5969318.5700000003</v>
      </c>
      <c r="G247" s="249">
        <f>Données!G247</f>
        <v>2139091.52</v>
      </c>
      <c r="H247" s="249">
        <f>Données!H247</f>
        <v>338943.85</v>
      </c>
      <c r="I247" s="249">
        <f>Données!I247</f>
        <v>-2494.85</v>
      </c>
      <c r="J247" s="249">
        <f>Données!J247</f>
        <v>787830.3</v>
      </c>
      <c r="K247" s="249">
        <f>Données!K247</f>
        <v>17642.39</v>
      </c>
      <c r="L247" s="249">
        <f>Données!L247</f>
        <v>-51831.58</v>
      </c>
      <c r="M247" s="249">
        <f>Données!M247</f>
        <v>0</v>
      </c>
      <c r="N247" s="249">
        <f>Données!N247</f>
        <v>31988.614795077356</v>
      </c>
      <c r="O247" s="249">
        <f>Données!O247</f>
        <v>1693208.05</v>
      </c>
      <c r="P247" s="249">
        <f>Données!P247</f>
        <v>521789.34</v>
      </c>
      <c r="Q247" s="249">
        <f>Données!Q247</f>
        <v>35873.75</v>
      </c>
      <c r="R247" s="249">
        <f>Données!R247</f>
        <v>-10120.299999999999</v>
      </c>
      <c r="S247" s="241"/>
      <c r="T247" s="233">
        <f t="shared" si="18"/>
        <v>7633121.7307833415</v>
      </c>
      <c r="U247" s="250">
        <f t="shared" si="19"/>
        <v>1128805.3666666667</v>
      </c>
      <c r="V247" s="250">
        <f t="shared" si="20"/>
        <v>547542.79</v>
      </c>
      <c r="W247" s="251">
        <f t="shared" si="21"/>
        <v>9309469.8874500096</v>
      </c>
      <c r="X247" s="233">
        <f t="shared" si="22"/>
        <v>2523.5754642043939</v>
      </c>
      <c r="Y247" s="252">
        <f t="shared" si="23"/>
        <v>0.73608136442588668</v>
      </c>
    </row>
    <row r="248" spans="1:25" x14ac:dyDescent="0.25">
      <c r="A248" s="108">
        <f>Données!A248</f>
        <v>5842</v>
      </c>
      <c r="B248" s="116" t="str">
        <f>Données!B248</f>
        <v>Rossinière</v>
      </c>
      <c r="C248" s="246">
        <f>Données!C248</f>
        <v>504</v>
      </c>
      <c r="D248" s="247">
        <f>Données!D248</f>
        <v>81</v>
      </c>
      <c r="E248" s="248">
        <f>Données!E248</f>
        <v>1.5</v>
      </c>
      <c r="F248" s="249">
        <f>Données!F248</f>
        <v>835502.38</v>
      </c>
      <c r="G248" s="249">
        <f>Données!G248</f>
        <v>237477.83</v>
      </c>
      <c r="H248" s="249">
        <f>Données!H248</f>
        <v>17291.2</v>
      </c>
      <c r="I248" s="249">
        <f>Données!I248</f>
        <v>419.2</v>
      </c>
      <c r="J248" s="249">
        <f>Données!J248</f>
        <v>46417.1</v>
      </c>
      <c r="K248" s="249">
        <f>Données!K248</f>
        <v>0</v>
      </c>
      <c r="L248" s="249">
        <f>Données!L248</f>
        <v>-6430.75</v>
      </c>
      <c r="M248" s="249">
        <f>Données!M248</f>
        <v>0</v>
      </c>
      <c r="N248" s="249">
        <f>Données!N248</f>
        <v>1683.8545023665936</v>
      </c>
      <c r="O248" s="249">
        <f>Données!O248</f>
        <v>151343.6</v>
      </c>
      <c r="P248" s="249">
        <f>Données!P248</f>
        <v>23513.66</v>
      </c>
      <c r="Q248" s="249">
        <f>Données!Q248</f>
        <v>1119.8499999999999</v>
      </c>
      <c r="R248" s="249">
        <f>Données!R248</f>
        <v>-49.45</v>
      </c>
      <c r="S248" s="241"/>
      <c r="T248" s="233">
        <f t="shared" si="18"/>
        <v>942182.23234733765</v>
      </c>
      <c r="U248" s="250">
        <f t="shared" si="19"/>
        <v>100895.73333333334</v>
      </c>
      <c r="V248" s="250">
        <f t="shared" si="20"/>
        <v>24584.059999999998</v>
      </c>
      <c r="W248" s="251">
        <f t="shared" si="21"/>
        <v>1067662.025680671</v>
      </c>
      <c r="X248" s="233">
        <f t="shared" si="22"/>
        <v>2118.3770350806963</v>
      </c>
      <c r="Y248" s="252">
        <f t="shared" si="23"/>
        <v>0.61789230418051411</v>
      </c>
    </row>
    <row r="249" spans="1:25" x14ac:dyDescent="0.25">
      <c r="A249" s="108">
        <f>Données!A249</f>
        <v>5843</v>
      </c>
      <c r="B249" s="116" t="str">
        <f>Données!B249</f>
        <v>Rougemont</v>
      </c>
      <c r="C249" s="246">
        <f>Données!C249</f>
        <v>805</v>
      </c>
      <c r="D249" s="247">
        <f>Données!D249</f>
        <v>79</v>
      </c>
      <c r="E249" s="248">
        <f>Données!E249</f>
        <v>1.5</v>
      </c>
      <c r="F249" s="249">
        <f>Données!F249</f>
        <v>2176260.46</v>
      </c>
      <c r="G249" s="249">
        <f>Données!G249</f>
        <v>2056779.72</v>
      </c>
      <c r="H249" s="249">
        <f>Données!H249</f>
        <v>165970.5</v>
      </c>
      <c r="I249" s="249">
        <f>Données!I249</f>
        <v>12198.9</v>
      </c>
      <c r="J249" s="249">
        <f>Données!J249</f>
        <v>1852536.32</v>
      </c>
      <c r="K249" s="249">
        <f>Données!K249</f>
        <v>9506.86</v>
      </c>
      <c r="L249" s="249">
        <f>Données!L249</f>
        <v>-75296.83</v>
      </c>
      <c r="M249" s="249">
        <f>Données!M249</f>
        <v>0</v>
      </c>
      <c r="N249" s="249">
        <f>Données!N249</f>
        <v>16939.840227999059</v>
      </c>
      <c r="O249" s="249">
        <f>Données!O249</f>
        <v>1329405.3500000001</v>
      </c>
      <c r="P249" s="249">
        <f>Données!P249</f>
        <v>146742.51</v>
      </c>
      <c r="Q249" s="249">
        <f>Données!Q249</f>
        <v>29797.95</v>
      </c>
      <c r="R249" s="249">
        <f>Données!R249</f>
        <v>-24160.05</v>
      </c>
      <c r="S249" s="241"/>
      <c r="T249" s="233">
        <f t="shared" si="18"/>
        <v>5302026.0235713394</v>
      </c>
      <c r="U249" s="250">
        <f t="shared" si="19"/>
        <v>886270.2333333334</v>
      </c>
      <c r="V249" s="250">
        <f t="shared" si="20"/>
        <v>152380.41000000003</v>
      </c>
      <c r="W249" s="251">
        <f t="shared" si="21"/>
        <v>6340676.666904673</v>
      </c>
      <c r="X249" s="233">
        <f t="shared" si="22"/>
        <v>7876.616977521333</v>
      </c>
      <c r="Y249" s="252">
        <f t="shared" si="23"/>
        <v>2.2974668497586954</v>
      </c>
    </row>
    <row r="250" spans="1:25" x14ac:dyDescent="0.25">
      <c r="A250" s="108">
        <f>Données!A250</f>
        <v>5851</v>
      </c>
      <c r="B250" s="116" t="str">
        <f>Données!B250</f>
        <v>Allaman</v>
      </c>
      <c r="C250" s="246">
        <f>Données!C250</f>
        <v>412</v>
      </c>
      <c r="D250" s="247">
        <f>Données!D250</f>
        <v>65</v>
      </c>
      <c r="E250" s="248">
        <f>Données!E250</f>
        <v>1.2</v>
      </c>
      <c r="F250" s="249">
        <f>Données!F250</f>
        <v>914740.03</v>
      </c>
      <c r="G250" s="249">
        <f>Données!G250</f>
        <v>244111.49</v>
      </c>
      <c r="H250" s="249">
        <f>Données!H250</f>
        <v>118893.05</v>
      </c>
      <c r="I250" s="249">
        <f>Données!I250</f>
        <v>28178.3</v>
      </c>
      <c r="J250" s="249">
        <f>Données!J250</f>
        <v>132954.54999999999</v>
      </c>
      <c r="K250" s="249">
        <f>Données!K250</f>
        <v>0.21</v>
      </c>
      <c r="L250" s="249">
        <f>Données!L250</f>
        <v>-7757.2</v>
      </c>
      <c r="M250" s="249">
        <f>Données!M250</f>
        <v>0</v>
      </c>
      <c r="N250" s="249">
        <f>Données!N250</f>
        <v>13983.126008821546</v>
      </c>
      <c r="O250" s="249">
        <f>Données!O250</f>
        <v>277137.40000000002</v>
      </c>
      <c r="P250" s="249">
        <f>Données!P250</f>
        <v>58250.52</v>
      </c>
      <c r="Q250" s="249">
        <f>Données!Q250</f>
        <v>52374.85</v>
      </c>
      <c r="R250" s="249">
        <f>Données!R250</f>
        <v>-1371.05</v>
      </c>
      <c r="S250" s="241"/>
      <c r="T250" s="233">
        <f t="shared" si="18"/>
        <v>1498375.6608562507</v>
      </c>
      <c r="U250" s="250">
        <f t="shared" si="19"/>
        <v>230947.83333333337</v>
      </c>
      <c r="V250" s="250">
        <f t="shared" si="20"/>
        <v>109254.31999999999</v>
      </c>
      <c r="W250" s="251">
        <f t="shared" si="21"/>
        <v>1838577.8141895842</v>
      </c>
      <c r="X250" s="233">
        <f t="shared" si="22"/>
        <v>4462.5675101688939</v>
      </c>
      <c r="Y250" s="252">
        <f t="shared" si="23"/>
        <v>1.301650308588395</v>
      </c>
    </row>
    <row r="251" spans="1:25" x14ac:dyDescent="0.25">
      <c r="A251" s="108">
        <f>Données!A251</f>
        <v>5852</v>
      </c>
      <c r="B251" s="116" t="str">
        <f>Données!B251</f>
        <v>Bursinel</v>
      </c>
      <c r="C251" s="246">
        <f>Données!C251</f>
        <v>535</v>
      </c>
      <c r="D251" s="247">
        <f>Données!D251</f>
        <v>62</v>
      </c>
      <c r="E251" s="248">
        <f>Données!E251</f>
        <v>0.75</v>
      </c>
      <c r="F251" s="249">
        <f>Données!F251</f>
        <v>1428499.96</v>
      </c>
      <c r="G251" s="249">
        <f>Données!G251</f>
        <v>681083.3</v>
      </c>
      <c r="H251" s="249">
        <f>Données!H251</f>
        <v>22612.400000000001</v>
      </c>
      <c r="I251" s="249">
        <f>Données!I251</f>
        <v>1238.25</v>
      </c>
      <c r="J251" s="249">
        <f>Données!J251</f>
        <v>578305.15</v>
      </c>
      <c r="K251" s="249">
        <f>Données!K251</f>
        <v>0</v>
      </c>
      <c r="L251" s="249">
        <f>Données!L251</f>
        <v>-9167.2099999999991</v>
      </c>
      <c r="M251" s="249">
        <f>Données!M251</f>
        <v>0</v>
      </c>
      <c r="N251" s="249">
        <f>Données!N251</f>
        <v>2267.6520229283242</v>
      </c>
      <c r="O251" s="249">
        <f>Données!O251</f>
        <v>155374.95000000001</v>
      </c>
      <c r="P251" s="249">
        <f>Données!P251</f>
        <v>38533.879999999997</v>
      </c>
      <c r="Q251" s="249">
        <f>Données!Q251</f>
        <v>10783.85</v>
      </c>
      <c r="R251" s="249">
        <f>Données!R251</f>
        <v>-16500.2</v>
      </c>
      <c r="S251" s="241"/>
      <c r="T251" s="233">
        <f t="shared" si="18"/>
        <v>2940254.3937981231</v>
      </c>
      <c r="U251" s="250">
        <f t="shared" si="19"/>
        <v>207166.6</v>
      </c>
      <c r="V251" s="250">
        <f t="shared" si="20"/>
        <v>32817.53</v>
      </c>
      <c r="W251" s="251">
        <f t="shared" si="21"/>
        <v>3180238.523798123</v>
      </c>
      <c r="X251" s="233">
        <f t="shared" si="22"/>
        <v>5944.3710725198562</v>
      </c>
      <c r="Y251" s="252">
        <f t="shared" si="23"/>
        <v>1.7338656330190869</v>
      </c>
    </row>
    <row r="252" spans="1:25" x14ac:dyDescent="0.25">
      <c r="A252" s="108">
        <f>Données!A252</f>
        <v>5853</v>
      </c>
      <c r="B252" s="116" t="str">
        <f>Données!B252</f>
        <v>Bursins</v>
      </c>
      <c r="C252" s="246">
        <f>Données!C252</f>
        <v>831</v>
      </c>
      <c r="D252" s="247">
        <f>Données!D252</f>
        <v>71</v>
      </c>
      <c r="E252" s="248">
        <f>Données!E252</f>
        <v>1</v>
      </c>
      <c r="F252" s="249">
        <f>Données!F252</f>
        <v>2305547.2599999998</v>
      </c>
      <c r="G252" s="249">
        <f>Données!G252</f>
        <v>507707.05</v>
      </c>
      <c r="H252" s="249">
        <f>Données!H252</f>
        <v>17606.900000000001</v>
      </c>
      <c r="I252" s="249">
        <f>Données!I252</f>
        <v>3184.7</v>
      </c>
      <c r="J252" s="249">
        <f>Données!J252</f>
        <v>123857.11</v>
      </c>
      <c r="K252" s="249">
        <f>Données!K252</f>
        <v>434.27</v>
      </c>
      <c r="L252" s="249">
        <f>Données!L252</f>
        <v>-28745.83</v>
      </c>
      <c r="M252" s="249">
        <f>Données!M252</f>
        <v>0</v>
      </c>
      <c r="N252" s="249">
        <f>Données!N252</f>
        <v>1976.8062421743873</v>
      </c>
      <c r="O252" s="249">
        <f>Données!O252</f>
        <v>235746.4</v>
      </c>
      <c r="P252" s="249">
        <f>Données!P252</f>
        <v>44336.67</v>
      </c>
      <c r="Q252" s="249">
        <f>Données!Q252</f>
        <v>10650</v>
      </c>
      <c r="R252" s="249">
        <f>Données!R252</f>
        <v>-1967.1</v>
      </c>
      <c r="S252" s="241"/>
      <c r="T252" s="233">
        <f t="shared" si="18"/>
        <v>2782766.4580397648</v>
      </c>
      <c r="U252" s="250">
        <f t="shared" si="19"/>
        <v>235746.4</v>
      </c>
      <c r="V252" s="250">
        <f t="shared" si="20"/>
        <v>53019.57</v>
      </c>
      <c r="W252" s="251">
        <f t="shared" si="21"/>
        <v>3071532.4280397645</v>
      </c>
      <c r="X252" s="233">
        <f t="shared" si="22"/>
        <v>3696.1882407217381</v>
      </c>
      <c r="Y252" s="252">
        <f t="shared" si="23"/>
        <v>1.0781113233969117</v>
      </c>
    </row>
    <row r="253" spans="1:25" x14ac:dyDescent="0.25">
      <c r="A253" s="108">
        <f>Données!A253</f>
        <v>5854</v>
      </c>
      <c r="B253" s="116" t="str">
        <f>Données!B253</f>
        <v>Burtigny</v>
      </c>
      <c r="C253" s="246">
        <f>Données!C253</f>
        <v>406</v>
      </c>
      <c r="D253" s="247">
        <f>Données!D253</f>
        <v>75</v>
      </c>
      <c r="E253" s="248">
        <f>Données!E253</f>
        <v>1.5</v>
      </c>
      <c r="F253" s="249">
        <f>Données!F253</f>
        <v>813609.52</v>
      </c>
      <c r="G253" s="249">
        <f>Données!G253</f>
        <v>205566.61</v>
      </c>
      <c r="H253" s="249">
        <f>Données!H253</f>
        <v>19109.2</v>
      </c>
      <c r="I253" s="249">
        <f>Données!I253</f>
        <v>2850.85</v>
      </c>
      <c r="J253" s="249">
        <f>Données!J253</f>
        <v>0</v>
      </c>
      <c r="K253" s="249">
        <f>Données!K253</f>
        <v>0</v>
      </c>
      <c r="L253" s="249">
        <f>Données!L253</f>
        <v>-676.3</v>
      </c>
      <c r="M253" s="249">
        <f>Données!M253</f>
        <v>0</v>
      </c>
      <c r="N253" s="249">
        <f>Données!N253</f>
        <v>2087.8991476587489</v>
      </c>
      <c r="O253" s="249">
        <f>Données!O253</f>
        <v>121668.95</v>
      </c>
      <c r="P253" s="249">
        <f>Données!P253</f>
        <v>10158.450000000001</v>
      </c>
      <c r="Q253" s="249">
        <f>Données!Q253</f>
        <v>3438.95</v>
      </c>
      <c r="R253" s="249">
        <f>Données!R253</f>
        <v>-939.2</v>
      </c>
      <c r="S253" s="241"/>
      <c r="T253" s="233">
        <f t="shared" si="18"/>
        <v>936849.43863338802</v>
      </c>
      <c r="U253" s="250">
        <f t="shared" si="19"/>
        <v>81112.633333333331</v>
      </c>
      <c r="V253" s="250">
        <f t="shared" si="20"/>
        <v>12658.2</v>
      </c>
      <c r="W253" s="251">
        <f t="shared" si="21"/>
        <v>1030620.2719667213</v>
      </c>
      <c r="X253" s="233">
        <f t="shared" si="22"/>
        <v>2538.4735762727123</v>
      </c>
      <c r="Y253" s="252">
        <f t="shared" si="23"/>
        <v>0.74042687452224309</v>
      </c>
    </row>
    <row r="254" spans="1:25" x14ac:dyDescent="0.25">
      <c r="A254" s="108">
        <f>Données!A254</f>
        <v>5855</v>
      </c>
      <c r="B254" s="116" t="str">
        <f>Données!B254</f>
        <v>Dully</v>
      </c>
      <c r="C254" s="246">
        <f>Données!C254</f>
        <v>637</v>
      </c>
      <c r="D254" s="247">
        <f>Données!D254</f>
        <v>53</v>
      </c>
      <c r="E254" s="248">
        <f>Données!E254</f>
        <v>1</v>
      </c>
      <c r="F254" s="249">
        <f>Données!F254</f>
        <v>2396460.41</v>
      </c>
      <c r="G254" s="249">
        <f>Données!G254</f>
        <v>1253128.96</v>
      </c>
      <c r="H254" s="249">
        <f>Données!H254</f>
        <v>69610.5</v>
      </c>
      <c r="I254" s="249">
        <f>Données!I254</f>
        <v>28500.75</v>
      </c>
      <c r="J254" s="249">
        <f>Données!J254</f>
        <v>1184109.8999999999</v>
      </c>
      <c r="K254" s="249">
        <f>Données!K254</f>
        <v>306.20999999999998</v>
      </c>
      <c r="L254" s="249">
        <f>Données!L254</f>
        <v>-2317.08</v>
      </c>
      <c r="M254" s="249">
        <f>Données!M254</f>
        <v>0</v>
      </c>
      <c r="N254" s="249">
        <f>Données!N254</f>
        <v>9328.1388362382804</v>
      </c>
      <c r="O254" s="249">
        <f>Données!O254</f>
        <v>398228.7</v>
      </c>
      <c r="P254" s="249">
        <f>Données!P254</f>
        <v>13016.96</v>
      </c>
      <c r="Q254" s="249">
        <f>Données!Q254</f>
        <v>10838.5</v>
      </c>
      <c r="R254" s="249">
        <f>Données!R254</f>
        <v>-24041.3</v>
      </c>
      <c r="S254" s="241"/>
      <c r="T254" s="233">
        <f t="shared" si="18"/>
        <v>6280720.8286752161</v>
      </c>
      <c r="U254" s="250">
        <f t="shared" si="19"/>
        <v>398228.7</v>
      </c>
      <c r="V254" s="250">
        <f t="shared" si="20"/>
        <v>-185.84000000000015</v>
      </c>
      <c r="W254" s="251">
        <f t="shared" si="21"/>
        <v>6678763.6886752164</v>
      </c>
      <c r="X254" s="233">
        <f t="shared" si="22"/>
        <v>10484.715366837074</v>
      </c>
      <c r="Y254" s="252">
        <f t="shared" si="23"/>
        <v>3.0582020241949128</v>
      </c>
    </row>
    <row r="255" spans="1:25" x14ac:dyDescent="0.25">
      <c r="A255" s="108">
        <f>Données!A255</f>
        <v>5856</v>
      </c>
      <c r="B255" s="116" t="str">
        <f>Données!B255</f>
        <v>Essertines-sur-Rolle</v>
      </c>
      <c r="C255" s="246">
        <f>Données!C255</f>
        <v>770</v>
      </c>
      <c r="D255" s="247">
        <f>Données!D255</f>
        <v>66.5</v>
      </c>
      <c r="E255" s="248">
        <f>Données!E255</f>
        <v>1.3</v>
      </c>
      <c r="F255" s="249">
        <f>Données!F255</f>
        <v>1945150.88</v>
      </c>
      <c r="G255" s="249">
        <f>Données!G255</f>
        <v>337862.66</v>
      </c>
      <c r="H255" s="249">
        <f>Données!H255</f>
        <v>31077.4</v>
      </c>
      <c r="I255" s="249">
        <f>Données!I255</f>
        <v>2076.15</v>
      </c>
      <c r="J255" s="249">
        <f>Données!J255</f>
        <v>286562.2</v>
      </c>
      <c r="K255" s="249">
        <f>Données!K255</f>
        <v>0</v>
      </c>
      <c r="L255" s="249">
        <f>Données!L255</f>
        <v>-5261.32</v>
      </c>
      <c r="M255" s="249">
        <f>Données!M255</f>
        <v>0</v>
      </c>
      <c r="N255" s="249">
        <f>Données!N255</f>
        <v>3152.1453178322331</v>
      </c>
      <c r="O255" s="249">
        <f>Données!O255</f>
        <v>273390.55</v>
      </c>
      <c r="P255" s="249">
        <f>Données!P255</f>
        <v>7226.5</v>
      </c>
      <c r="Q255" s="249">
        <f>Données!Q255</f>
        <v>3209.5</v>
      </c>
      <c r="R255" s="249">
        <f>Données!R255</f>
        <v>-1691.76</v>
      </c>
      <c r="S255" s="241"/>
      <c r="T255" s="233">
        <f t="shared" si="18"/>
        <v>2635665.9677752792</v>
      </c>
      <c r="U255" s="250">
        <f t="shared" si="19"/>
        <v>210300.42307692306</v>
      </c>
      <c r="V255" s="250">
        <f t="shared" si="20"/>
        <v>8744.24</v>
      </c>
      <c r="W255" s="251">
        <f t="shared" si="21"/>
        <v>2854710.6308522024</v>
      </c>
      <c r="X255" s="233">
        <f t="shared" si="22"/>
        <v>3707.4164037041592</v>
      </c>
      <c r="Y255" s="252">
        <f t="shared" si="23"/>
        <v>1.0813863756572182</v>
      </c>
    </row>
    <row r="256" spans="1:25" x14ac:dyDescent="0.25">
      <c r="A256" s="108">
        <f>Données!A256</f>
        <v>5857</v>
      </c>
      <c r="B256" s="116" t="str">
        <f>Données!B256</f>
        <v>Gilly</v>
      </c>
      <c r="C256" s="246">
        <f>Données!C256</f>
        <v>1429</v>
      </c>
      <c r="D256" s="247">
        <f>Données!D256</f>
        <v>62.5</v>
      </c>
      <c r="E256" s="248">
        <f>Données!E256</f>
        <v>1</v>
      </c>
      <c r="F256" s="249">
        <f>Données!F256</f>
        <v>4756392.3899999997</v>
      </c>
      <c r="G256" s="249">
        <f>Données!G256</f>
        <v>723448.26</v>
      </c>
      <c r="H256" s="249">
        <f>Données!H256</f>
        <v>105761.25</v>
      </c>
      <c r="I256" s="249">
        <f>Données!I256</f>
        <v>14898.65</v>
      </c>
      <c r="J256" s="249">
        <f>Données!J256</f>
        <v>0</v>
      </c>
      <c r="K256" s="249">
        <f>Données!K256</f>
        <v>0</v>
      </c>
      <c r="L256" s="249">
        <f>Données!L256</f>
        <v>-21970.71</v>
      </c>
      <c r="M256" s="249">
        <f>Données!M256</f>
        <v>0</v>
      </c>
      <c r="N256" s="249">
        <f>Données!N256</f>
        <v>11472.000399206281</v>
      </c>
      <c r="O256" s="249">
        <f>Données!O256</f>
        <v>430958.45</v>
      </c>
      <c r="P256" s="249">
        <f>Données!P256</f>
        <v>73608.259999999995</v>
      </c>
      <c r="Q256" s="249">
        <f>Données!Q256</f>
        <v>15892</v>
      </c>
      <c r="R256" s="249">
        <f>Données!R256</f>
        <v>-4117.1499999999996</v>
      </c>
      <c r="S256" s="241"/>
      <c r="T256" s="233">
        <f t="shared" si="18"/>
        <v>6027913.7599841822</v>
      </c>
      <c r="U256" s="250">
        <f t="shared" si="19"/>
        <v>430958.45</v>
      </c>
      <c r="V256" s="250">
        <f t="shared" si="20"/>
        <v>85383.11</v>
      </c>
      <c r="W256" s="251">
        <f t="shared" si="21"/>
        <v>6544255.3199841827</v>
      </c>
      <c r="X256" s="233">
        <f t="shared" si="22"/>
        <v>4579.6048425361669</v>
      </c>
      <c r="Y256" s="252">
        <f t="shared" si="23"/>
        <v>1.3357879836924873</v>
      </c>
    </row>
    <row r="257" spans="1:25" x14ac:dyDescent="0.25">
      <c r="A257" s="108">
        <f>Données!A257</f>
        <v>5858</v>
      </c>
      <c r="B257" s="116" t="str">
        <f>Données!B257</f>
        <v>Luins</v>
      </c>
      <c r="C257" s="246">
        <f>Données!C257</f>
        <v>640</v>
      </c>
      <c r="D257" s="247">
        <f>Données!D257</f>
        <v>58.5</v>
      </c>
      <c r="E257" s="248">
        <f>Données!E257</f>
        <v>1.5</v>
      </c>
      <c r="F257" s="249">
        <f>Données!F257</f>
        <v>1601381.86</v>
      </c>
      <c r="G257" s="249">
        <f>Données!G257</f>
        <v>225262.45</v>
      </c>
      <c r="H257" s="249">
        <f>Données!H257</f>
        <v>70035.399999999994</v>
      </c>
      <c r="I257" s="249">
        <f>Données!I257</f>
        <v>1483.1</v>
      </c>
      <c r="J257" s="249">
        <f>Données!J257</f>
        <v>41895.949999999997</v>
      </c>
      <c r="K257" s="249">
        <f>Données!K257</f>
        <v>59.21</v>
      </c>
      <c r="L257" s="249">
        <f>Données!L257</f>
        <v>-1651.76</v>
      </c>
      <c r="M257" s="249">
        <f>Données!M257</f>
        <v>0</v>
      </c>
      <c r="N257" s="249">
        <f>Données!N257</f>
        <v>6799.7757378435954</v>
      </c>
      <c r="O257" s="249">
        <f>Données!O257</f>
        <v>255898.45</v>
      </c>
      <c r="P257" s="249">
        <f>Données!P257</f>
        <v>72760.100000000006</v>
      </c>
      <c r="Q257" s="249">
        <f>Données!Q257</f>
        <v>1765.8</v>
      </c>
      <c r="R257" s="249">
        <f>Données!R257</f>
        <v>-3365.27</v>
      </c>
      <c r="S257" s="241"/>
      <c r="T257" s="233">
        <f t="shared" si="18"/>
        <v>2241084.4574667164</v>
      </c>
      <c r="U257" s="250">
        <f t="shared" si="19"/>
        <v>170598.96666666667</v>
      </c>
      <c r="V257" s="250">
        <f t="shared" si="20"/>
        <v>71160.63</v>
      </c>
      <c r="W257" s="251">
        <f t="shared" si="21"/>
        <v>2482844.0541333831</v>
      </c>
      <c r="X257" s="233">
        <f t="shared" si="22"/>
        <v>3879.443834583411</v>
      </c>
      <c r="Y257" s="252">
        <f t="shared" si="23"/>
        <v>1.1315636688812196</v>
      </c>
    </row>
    <row r="258" spans="1:25" x14ac:dyDescent="0.25">
      <c r="A258" s="108">
        <f>Données!A258</f>
        <v>5859</v>
      </c>
      <c r="B258" s="116" t="str">
        <f>Données!B258</f>
        <v>Mont-sur-Rolle</v>
      </c>
      <c r="C258" s="246">
        <f>Données!C258</f>
        <v>2759</v>
      </c>
      <c r="D258" s="247">
        <f>Données!D258</f>
        <v>62</v>
      </c>
      <c r="E258" s="248">
        <f>Données!E258</f>
        <v>1</v>
      </c>
      <c r="F258" s="249">
        <f>Données!F258</f>
        <v>8250171.3200000003</v>
      </c>
      <c r="G258" s="249">
        <f>Données!G258</f>
        <v>1858134.11</v>
      </c>
      <c r="H258" s="249">
        <f>Données!H258</f>
        <v>114478.75</v>
      </c>
      <c r="I258" s="249">
        <f>Données!I258</f>
        <v>32324.05</v>
      </c>
      <c r="J258" s="249">
        <f>Données!J258</f>
        <v>524268</v>
      </c>
      <c r="K258" s="249">
        <f>Données!K258</f>
        <v>64276.44</v>
      </c>
      <c r="L258" s="249">
        <f>Données!L258</f>
        <v>-97322.5</v>
      </c>
      <c r="M258" s="249">
        <f>Données!M258</f>
        <v>0</v>
      </c>
      <c r="N258" s="249">
        <f>Données!N258</f>
        <v>13957.593037990249</v>
      </c>
      <c r="O258" s="249">
        <f>Données!O258</f>
        <v>738721.5</v>
      </c>
      <c r="P258" s="249">
        <f>Données!P258</f>
        <v>118450.57</v>
      </c>
      <c r="Q258" s="249">
        <f>Données!Q258</f>
        <v>23452.55</v>
      </c>
      <c r="R258" s="249">
        <f>Données!R258</f>
        <v>-21361.599999999999</v>
      </c>
      <c r="S258" s="241"/>
      <c r="T258" s="233">
        <f t="shared" si="18"/>
        <v>11696806.169143431</v>
      </c>
      <c r="U258" s="250">
        <f t="shared" si="19"/>
        <v>738721.5</v>
      </c>
      <c r="V258" s="250">
        <f t="shared" si="20"/>
        <v>120541.51999999999</v>
      </c>
      <c r="W258" s="251">
        <f t="shared" si="21"/>
        <v>12556069.18914343</v>
      </c>
      <c r="X258" s="233">
        <f t="shared" si="22"/>
        <v>4550.9493255322332</v>
      </c>
      <c r="Y258" s="252">
        <f t="shared" si="23"/>
        <v>1.3274296871589477</v>
      </c>
    </row>
    <row r="259" spans="1:25" x14ac:dyDescent="0.25">
      <c r="A259" s="108">
        <f>Données!A259</f>
        <v>5860</v>
      </c>
      <c r="B259" s="116" t="str">
        <f>Données!B259</f>
        <v>Perroy</v>
      </c>
      <c r="C259" s="246">
        <f>Données!C259</f>
        <v>1573</v>
      </c>
      <c r="D259" s="247">
        <f>Données!D259</f>
        <v>60.5</v>
      </c>
      <c r="E259" s="248">
        <f>Données!E259</f>
        <v>1.3</v>
      </c>
      <c r="F259" s="249">
        <f>Données!F259</f>
        <v>4650171.42</v>
      </c>
      <c r="G259" s="249">
        <f>Données!G259</f>
        <v>1310448.92</v>
      </c>
      <c r="H259" s="249">
        <f>Données!H259</f>
        <v>233898.7</v>
      </c>
      <c r="I259" s="249">
        <f>Données!I259</f>
        <v>22803.1</v>
      </c>
      <c r="J259" s="249">
        <f>Données!J259</f>
        <v>319203.20000000001</v>
      </c>
      <c r="K259" s="249">
        <f>Données!K259</f>
        <v>5000.62</v>
      </c>
      <c r="L259" s="249">
        <f>Données!L259</f>
        <v>-33310.410000000003</v>
      </c>
      <c r="M259" s="249">
        <f>Données!M259</f>
        <v>0</v>
      </c>
      <c r="N259" s="249">
        <f>Données!N259</f>
        <v>24406.477645655028</v>
      </c>
      <c r="O259" s="249">
        <f>Données!O259</f>
        <v>759990.6</v>
      </c>
      <c r="P259" s="249">
        <f>Données!P259</f>
        <v>83446.759999999995</v>
      </c>
      <c r="Q259" s="249">
        <f>Données!Q259</f>
        <v>30646.400000000001</v>
      </c>
      <c r="R259" s="249">
        <f>Données!R259</f>
        <v>-46861.35</v>
      </c>
      <c r="S259" s="241"/>
      <c r="T259" s="233">
        <f t="shared" si="18"/>
        <v>7277249.3023171881</v>
      </c>
      <c r="U259" s="250">
        <f t="shared" si="19"/>
        <v>584608.15384615376</v>
      </c>
      <c r="V259" s="250">
        <f t="shared" si="20"/>
        <v>67231.81</v>
      </c>
      <c r="W259" s="251">
        <f t="shared" si="21"/>
        <v>7929089.2661633417</v>
      </c>
      <c r="X259" s="233">
        <f t="shared" si="22"/>
        <v>5040.7433351324489</v>
      </c>
      <c r="Y259" s="252">
        <f t="shared" si="23"/>
        <v>1.4702937496718618</v>
      </c>
    </row>
    <row r="260" spans="1:25" x14ac:dyDescent="0.25">
      <c r="A260" s="108">
        <f>Données!A260</f>
        <v>5861</v>
      </c>
      <c r="B260" s="116" t="str">
        <f>Données!B260</f>
        <v>Rolle</v>
      </c>
      <c r="C260" s="246">
        <f>Données!C260</f>
        <v>6604</v>
      </c>
      <c r="D260" s="247">
        <f>Données!D260</f>
        <v>59.5</v>
      </c>
      <c r="E260" s="248">
        <f>Données!E260</f>
        <v>1</v>
      </c>
      <c r="F260" s="249">
        <f>Données!F260</f>
        <v>14796118.810000001</v>
      </c>
      <c r="G260" s="249">
        <f>Données!G260</f>
        <v>2917664.14</v>
      </c>
      <c r="H260" s="249">
        <f>Données!H260</f>
        <v>25751108.200000003</v>
      </c>
      <c r="I260" s="249">
        <f>Données!I260</f>
        <v>1437314.2</v>
      </c>
      <c r="J260" s="249">
        <f>Données!J260</f>
        <v>448471.57</v>
      </c>
      <c r="K260" s="249">
        <f>Données!K260</f>
        <v>90293.78</v>
      </c>
      <c r="L260" s="249">
        <f>Données!L260</f>
        <v>-273928.93</v>
      </c>
      <c r="M260" s="249">
        <f>Données!M260</f>
        <v>0</v>
      </c>
      <c r="N260" s="249">
        <f>Données!N260</f>
        <v>2584997.9373975033</v>
      </c>
      <c r="O260" s="249">
        <f>Données!O260</f>
        <v>2013348.1</v>
      </c>
      <c r="P260" s="249">
        <f>Données!P260</f>
        <v>744067.87</v>
      </c>
      <c r="Q260" s="249">
        <f>Données!Q260</f>
        <v>397009.85</v>
      </c>
      <c r="R260" s="249">
        <f>Données!R260</f>
        <v>-128760.05</v>
      </c>
      <c r="S260" s="241"/>
      <c r="T260" s="233">
        <f t="shared" si="18"/>
        <v>54089137.725702323</v>
      </c>
      <c r="U260" s="250">
        <f t="shared" si="19"/>
        <v>2013348.1</v>
      </c>
      <c r="V260" s="250">
        <f t="shared" si="20"/>
        <v>1012317.6699999999</v>
      </c>
      <c r="W260" s="251">
        <f t="shared" si="21"/>
        <v>57114803.495702326</v>
      </c>
      <c r="X260" s="233">
        <f t="shared" si="22"/>
        <v>8648.5165802093161</v>
      </c>
      <c r="Y260" s="252">
        <f t="shared" si="23"/>
        <v>2.5226160164096325</v>
      </c>
    </row>
    <row r="261" spans="1:25" x14ac:dyDescent="0.25">
      <c r="A261" s="108">
        <f>Données!A261</f>
        <v>5862</v>
      </c>
      <c r="B261" s="116" t="str">
        <f>Données!B261</f>
        <v>Tartegnin</v>
      </c>
      <c r="C261" s="246">
        <f>Données!C261</f>
        <v>246</v>
      </c>
      <c r="D261" s="247">
        <f>Données!D261</f>
        <v>79</v>
      </c>
      <c r="E261" s="248">
        <f>Données!E261</f>
        <v>1</v>
      </c>
      <c r="F261" s="249">
        <f>Données!F261</f>
        <v>792696.54</v>
      </c>
      <c r="G261" s="249">
        <f>Données!G261</f>
        <v>74253.34</v>
      </c>
      <c r="H261" s="249">
        <f>Données!H261</f>
        <v>6141.45</v>
      </c>
      <c r="I261" s="249">
        <f>Données!I261</f>
        <v>2434.6</v>
      </c>
      <c r="J261" s="249">
        <f>Données!J261</f>
        <v>0</v>
      </c>
      <c r="K261" s="249">
        <f>Données!K261</f>
        <v>186.91</v>
      </c>
      <c r="L261" s="249">
        <f>Données!L261</f>
        <v>-12862.62</v>
      </c>
      <c r="M261" s="249">
        <f>Données!M261</f>
        <v>0</v>
      </c>
      <c r="N261" s="249">
        <f>Données!N261</f>
        <v>815.38646247521353</v>
      </c>
      <c r="O261" s="249">
        <f>Données!O261</f>
        <v>54056.800000000003</v>
      </c>
      <c r="P261" s="249">
        <f>Données!P261</f>
        <v>-53921.22</v>
      </c>
      <c r="Q261" s="249">
        <f>Données!Q261</f>
        <v>4105.3</v>
      </c>
      <c r="R261" s="249">
        <f>Données!R261</f>
        <v>0</v>
      </c>
      <c r="S261" s="241"/>
      <c r="T261" s="233">
        <f t="shared" ref="T261:T301" si="24">(SUM(F261:N261)/D261*$T$4)</f>
        <v>736806.80906408431</v>
      </c>
      <c r="U261" s="250">
        <f t="shared" ref="U261:U301" si="25">O261/E261*$U$4</f>
        <v>54056.800000000003</v>
      </c>
      <c r="V261" s="250">
        <f t="shared" ref="V261:V301" si="26">SUM(P261:R261)</f>
        <v>-49815.92</v>
      </c>
      <c r="W261" s="251">
        <f t="shared" ref="W261:W302" si="27">SUM(T261:V261)</f>
        <v>741047.68906408432</v>
      </c>
      <c r="X261" s="233">
        <f t="shared" ref="X261:X302" si="28">W261/C261</f>
        <v>3012.3889799353019</v>
      </c>
      <c r="Y261" s="252">
        <f t="shared" si="23"/>
        <v>0.87865943459366647</v>
      </c>
    </row>
    <row r="262" spans="1:25" x14ac:dyDescent="0.25">
      <c r="A262" s="108">
        <f>Données!A262</f>
        <v>5863</v>
      </c>
      <c r="B262" s="116" t="str">
        <f>Données!B262</f>
        <v>Vinzel</v>
      </c>
      <c r="C262" s="246">
        <f>Données!C262</f>
        <v>385</v>
      </c>
      <c r="D262" s="247">
        <f>Données!D262</f>
        <v>65</v>
      </c>
      <c r="E262" s="248">
        <f>Données!E262</f>
        <v>1</v>
      </c>
      <c r="F262" s="249">
        <f>Données!F262</f>
        <v>977896.31</v>
      </c>
      <c r="G262" s="249">
        <f>Données!G262</f>
        <v>283325.07</v>
      </c>
      <c r="H262" s="249">
        <f>Données!H262</f>
        <v>-916.099999999999</v>
      </c>
      <c r="I262" s="249">
        <f>Données!I262</f>
        <v>9078.9500000000007</v>
      </c>
      <c r="J262" s="249">
        <f>Données!J262</f>
        <v>38816.35</v>
      </c>
      <c r="K262" s="249">
        <f>Données!K262</f>
        <v>0</v>
      </c>
      <c r="L262" s="249">
        <f>Données!L262</f>
        <v>-4922.3100000000004</v>
      </c>
      <c r="M262" s="249">
        <f>Données!M262</f>
        <v>0</v>
      </c>
      <c r="N262" s="249">
        <f>Données!N262</f>
        <v>776.10058071207607</v>
      </c>
      <c r="O262" s="249">
        <f>Données!O262</f>
        <v>99442.1</v>
      </c>
      <c r="P262" s="249">
        <f>Données!P262</f>
        <v>41473.99</v>
      </c>
      <c r="Q262" s="249">
        <f>Données!Q262</f>
        <v>2397.9</v>
      </c>
      <c r="R262" s="249">
        <f>Données!R262</f>
        <v>-8606.7000000000007</v>
      </c>
      <c r="S262" s="241"/>
      <c r="T262" s="233">
        <f t="shared" si="24"/>
        <v>1352126.8570592517</v>
      </c>
      <c r="U262" s="250">
        <f t="shared" si="25"/>
        <v>99442.1</v>
      </c>
      <c r="V262" s="250">
        <f t="shared" si="26"/>
        <v>35265.19</v>
      </c>
      <c r="W262" s="251">
        <f t="shared" si="27"/>
        <v>1486834.1470592518</v>
      </c>
      <c r="X262" s="233">
        <f t="shared" si="28"/>
        <v>3861.9068754785762</v>
      </c>
      <c r="Y262" s="252">
        <f t="shared" si="23"/>
        <v>1.1264484547856359</v>
      </c>
    </row>
    <row r="263" spans="1:25" x14ac:dyDescent="0.25">
      <c r="A263" s="108">
        <f>Données!A263</f>
        <v>5940</v>
      </c>
      <c r="B263" s="116" t="str">
        <f>Données!B263</f>
        <v>La Vallée de Joux</v>
      </c>
      <c r="C263" s="246">
        <f>Données!C263</f>
        <v>7317</v>
      </c>
      <c r="D263" s="247">
        <f>Données!D263</f>
        <v>66.5</v>
      </c>
      <c r="E263" s="248">
        <f>Données!E263</f>
        <v>1</v>
      </c>
      <c r="F263" s="249">
        <f>Données!F263</f>
        <v>10833642.093895841</v>
      </c>
      <c r="G263" s="249">
        <f>Données!G263</f>
        <v>1864497.4636960796</v>
      </c>
      <c r="H263" s="249">
        <f>Données!H263</f>
        <v>13341155.685523052</v>
      </c>
      <c r="I263" s="249">
        <f>Données!I263</f>
        <v>30612.153088582731</v>
      </c>
      <c r="J263" s="249">
        <f>Données!J263</f>
        <v>0</v>
      </c>
      <c r="K263" s="249">
        <f>Données!K263</f>
        <v>50350.625773743959</v>
      </c>
      <c r="L263" s="249">
        <f>Données!L263</f>
        <v>-153832.25311990789</v>
      </c>
      <c r="M263" s="249">
        <f>Données!M263</f>
        <v>0</v>
      </c>
      <c r="N263" s="249">
        <f>Données!N263</f>
        <v>1271349.6860402368</v>
      </c>
      <c r="O263" s="249">
        <f>Données!O263</f>
        <v>1419680.7999999998</v>
      </c>
      <c r="P263" s="249">
        <f>Données!P263</f>
        <v>755302.31</v>
      </c>
      <c r="Q263" s="249">
        <f>Données!Q263</f>
        <v>87754.65</v>
      </c>
      <c r="R263" s="249">
        <f>Données!R263</f>
        <v>-8135.71</v>
      </c>
      <c r="S263" s="241"/>
      <c r="T263" s="233">
        <f t="shared" si="24"/>
        <v>27604830.625408277</v>
      </c>
      <c r="U263" s="250">
        <f t="shared" si="25"/>
        <v>1419680.7999999998</v>
      </c>
      <c r="V263" s="250">
        <f t="shared" si="26"/>
        <v>834921.25000000012</v>
      </c>
      <c r="W263" s="251">
        <f t="shared" si="27"/>
        <v>29859432.675408278</v>
      </c>
      <c r="X263" s="233">
        <f t="shared" si="28"/>
        <v>4080.8299406052038</v>
      </c>
      <c r="Y263" s="252">
        <f t="shared" si="23"/>
        <v>1.1903043571624288</v>
      </c>
    </row>
    <row r="264" spans="1:25" x14ac:dyDescent="0.25">
      <c r="A264" s="108">
        <f>Données!A264</f>
        <v>5882</v>
      </c>
      <c r="B264" s="116" t="str">
        <f>Données!B264</f>
        <v>Chardonne</v>
      </c>
      <c r="C264" s="246">
        <f>Données!C264</f>
        <v>3384</v>
      </c>
      <c r="D264" s="247">
        <f>Données!D264</f>
        <v>68</v>
      </c>
      <c r="E264" s="248">
        <f>Données!E264</f>
        <v>1</v>
      </c>
      <c r="F264" s="249">
        <f>Données!F264</f>
        <v>9317767.5199999996</v>
      </c>
      <c r="G264" s="249">
        <f>Données!G264</f>
        <v>2275436.88</v>
      </c>
      <c r="H264" s="249">
        <f>Données!H264</f>
        <v>29810.05</v>
      </c>
      <c r="I264" s="249">
        <f>Données!I264</f>
        <v>24140.9</v>
      </c>
      <c r="J264" s="249">
        <f>Données!J264</f>
        <v>578924.05000000005</v>
      </c>
      <c r="K264" s="249">
        <f>Données!K264</f>
        <v>29328.77</v>
      </c>
      <c r="L264" s="249">
        <f>Données!L264</f>
        <v>-177276.21</v>
      </c>
      <c r="M264" s="249">
        <f>Données!M264</f>
        <v>0</v>
      </c>
      <c r="N264" s="249">
        <f>Données!N264</f>
        <v>5129.5030075241075</v>
      </c>
      <c r="O264" s="249">
        <f>Données!O264</f>
        <v>1117550.5900000001</v>
      </c>
      <c r="P264" s="249">
        <f>Données!P264</f>
        <v>269612.09999999998</v>
      </c>
      <c r="Q264" s="249">
        <f>Données!Q264</f>
        <v>76914.3</v>
      </c>
      <c r="R264" s="249">
        <f>Données!R264</f>
        <v>-57535.29</v>
      </c>
      <c r="S264" s="241"/>
      <c r="T264" s="233">
        <f t="shared" si="24"/>
        <v>11975960.561505757</v>
      </c>
      <c r="U264" s="250">
        <f t="shared" si="25"/>
        <v>1117550.5900000001</v>
      </c>
      <c r="V264" s="250">
        <f t="shared" si="26"/>
        <v>288991.11</v>
      </c>
      <c r="W264" s="251">
        <f t="shared" si="27"/>
        <v>13382502.261505757</v>
      </c>
      <c r="X264" s="233">
        <f t="shared" si="28"/>
        <v>3954.6401481991006</v>
      </c>
      <c r="Y264" s="252">
        <f t="shared" ref="Y264:Y302" si="29">X264/$X$302</f>
        <v>1.1534970748408009</v>
      </c>
    </row>
    <row r="265" spans="1:25" x14ac:dyDescent="0.25">
      <c r="A265" s="108">
        <f>Données!A265</f>
        <v>5883</v>
      </c>
      <c r="B265" s="116" t="str">
        <f>Données!B265</f>
        <v>Corseaux</v>
      </c>
      <c r="C265" s="246">
        <f>Données!C265</f>
        <v>2326</v>
      </c>
      <c r="D265" s="247">
        <f>Données!D265</f>
        <v>67.5</v>
      </c>
      <c r="E265" s="248">
        <f>Données!E265</f>
        <v>1</v>
      </c>
      <c r="F265" s="249">
        <f>Données!F265</f>
        <v>9549820.9700000007</v>
      </c>
      <c r="G265" s="249">
        <f>Données!G265</f>
        <v>2280272.7400000002</v>
      </c>
      <c r="H265" s="249">
        <f>Données!H265</f>
        <v>138250.5</v>
      </c>
      <c r="I265" s="249">
        <f>Données!I265</f>
        <v>8245.85</v>
      </c>
      <c r="J265" s="249">
        <f>Données!J265</f>
        <v>610460</v>
      </c>
      <c r="K265" s="249">
        <f>Données!K265</f>
        <v>6928.09</v>
      </c>
      <c r="L265" s="249">
        <f>Données!L265</f>
        <v>-34956.339999999997</v>
      </c>
      <c r="M265" s="249">
        <f>Données!M265</f>
        <v>0</v>
      </c>
      <c r="N265" s="249">
        <f>Données!N265</f>
        <v>13928.456642863646</v>
      </c>
      <c r="O265" s="249">
        <f>Données!O265</f>
        <v>765723.35</v>
      </c>
      <c r="P265" s="249">
        <f>Données!P265</f>
        <v>-2405.46</v>
      </c>
      <c r="Q265" s="249">
        <f>Données!Q265</f>
        <v>20965.3</v>
      </c>
      <c r="R265" s="249">
        <f>Données!R265</f>
        <v>-40695.089999999997</v>
      </c>
      <c r="S265" s="241"/>
      <c r="T265" s="233">
        <f t="shared" si="24"/>
        <v>12553606.798508165</v>
      </c>
      <c r="U265" s="250">
        <f t="shared" si="25"/>
        <v>765723.35</v>
      </c>
      <c r="V265" s="250">
        <f t="shared" si="26"/>
        <v>-22135.249999999996</v>
      </c>
      <c r="W265" s="251">
        <f t="shared" si="27"/>
        <v>13297194.898508165</v>
      </c>
      <c r="X265" s="233">
        <f t="shared" si="28"/>
        <v>5716.764788696546</v>
      </c>
      <c r="Y265" s="252">
        <f t="shared" si="29"/>
        <v>1.6674769926455417</v>
      </c>
    </row>
    <row r="266" spans="1:25" x14ac:dyDescent="0.25">
      <c r="A266" s="108">
        <f>Données!A266</f>
        <v>5884</v>
      </c>
      <c r="B266" s="116" t="str">
        <f>Données!B266</f>
        <v>Corsier-sur-Vevey</v>
      </c>
      <c r="C266" s="246">
        <f>Données!C266</f>
        <v>3458</v>
      </c>
      <c r="D266" s="247">
        <f>Données!D266</f>
        <v>64.5</v>
      </c>
      <c r="E266" s="248">
        <f>Données!E266</f>
        <v>1.2</v>
      </c>
      <c r="F266" s="249">
        <f>Données!F266</f>
        <v>5347561.92</v>
      </c>
      <c r="G266" s="249">
        <f>Données!G266</f>
        <v>898962.83</v>
      </c>
      <c r="H266" s="249">
        <f>Données!H266</f>
        <v>5353833.9000000004</v>
      </c>
      <c r="I266" s="249">
        <f>Données!I266</f>
        <v>63397.8</v>
      </c>
      <c r="J266" s="249">
        <f>Données!J266</f>
        <v>33544.35</v>
      </c>
      <c r="K266" s="249">
        <f>Données!K266</f>
        <v>12755.77</v>
      </c>
      <c r="L266" s="249">
        <f>Données!L266</f>
        <v>-70591.759999999995</v>
      </c>
      <c r="M266" s="249">
        <f>Données!M266</f>
        <v>0</v>
      </c>
      <c r="N266" s="249">
        <f>Données!N266</f>
        <v>515054.99528006342</v>
      </c>
      <c r="O266" s="249">
        <f>Données!O266</f>
        <v>1026324.95</v>
      </c>
      <c r="P266" s="249">
        <f>Données!P266</f>
        <v>131665.13</v>
      </c>
      <c r="Q266" s="249">
        <f>Données!Q266</f>
        <v>196337.9</v>
      </c>
      <c r="R266" s="249">
        <f>Données!R266</f>
        <v>-1905.41</v>
      </c>
      <c r="S266" s="241"/>
      <c r="T266" s="233">
        <f t="shared" si="24"/>
        <v>12700276.840342321</v>
      </c>
      <c r="U266" s="250">
        <f t="shared" si="25"/>
        <v>855270.79166666663</v>
      </c>
      <c r="V266" s="250">
        <f t="shared" si="26"/>
        <v>326097.62000000005</v>
      </c>
      <c r="W266" s="251">
        <f t="shared" si="27"/>
        <v>13881645.252008986</v>
      </c>
      <c r="X266" s="233">
        <f t="shared" si="28"/>
        <v>4014.3566373652361</v>
      </c>
      <c r="Y266" s="252">
        <f t="shared" si="29"/>
        <v>1.1709152957133797</v>
      </c>
    </row>
    <row r="267" spans="1:25" x14ac:dyDescent="0.25">
      <c r="A267" s="108">
        <f>Données!A267</f>
        <v>5885</v>
      </c>
      <c r="B267" s="116" t="str">
        <f>Données!B267</f>
        <v>Jongny</v>
      </c>
      <c r="C267" s="246">
        <f>Données!C267</f>
        <v>1917</v>
      </c>
      <c r="D267" s="247">
        <f>Données!D267</f>
        <v>69.5</v>
      </c>
      <c r="E267" s="248">
        <f>Données!E267</f>
        <v>1.2</v>
      </c>
      <c r="F267" s="249">
        <f>Données!F267</f>
        <v>5752109.2199999997</v>
      </c>
      <c r="G267" s="249">
        <f>Données!G267</f>
        <v>936908.24</v>
      </c>
      <c r="H267" s="249">
        <f>Données!H267</f>
        <v>30337.4</v>
      </c>
      <c r="I267" s="249">
        <f>Données!I267</f>
        <v>13641</v>
      </c>
      <c r="J267" s="249">
        <f>Données!J267</f>
        <v>-22067.7</v>
      </c>
      <c r="K267" s="249">
        <f>Données!K267</f>
        <v>31119.35</v>
      </c>
      <c r="L267" s="249">
        <f>Données!L267</f>
        <v>-57625.23</v>
      </c>
      <c r="M267" s="249">
        <f>Données!M267</f>
        <v>0</v>
      </c>
      <c r="N267" s="249">
        <f>Données!N267</f>
        <v>4181.3412936398381</v>
      </c>
      <c r="O267" s="249">
        <f>Données!O267</f>
        <v>610938.25</v>
      </c>
      <c r="P267" s="249">
        <f>Données!P267</f>
        <v>9926.0300000000007</v>
      </c>
      <c r="Q267" s="249">
        <f>Données!Q267</f>
        <v>25806.55</v>
      </c>
      <c r="R267" s="249">
        <f>Données!R267</f>
        <v>-6867.75</v>
      </c>
      <c r="S267" s="241"/>
      <c r="T267" s="233">
        <f t="shared" si="24"/>
        <v>6486131.5378586883</v>
      </c>
      <c r="U267" s="250">
        <f t="shared" si="25"/>
        <v>509115.20833333337</v>
      </c>
      <c r="V267" s="250">
        <f t="shared" si="26"/>
        <v>28864.83</v>
      </c>
      <c r="W267" s="251">
        <f t="shared" si="27"/>
        <v>7024111.5761920214</v>
      </c>
      <c r="X267" s="233">
        <f t="shared" si="28"/>
        <v>3664.116628164852</v>
      </c>
      <c r="Y267" s="252">
        <f t="shared" si="29"/>
        <v>1.0687566135160032</v>
      </c>
    </row>
    <row r="268" spans="1:25" x14ac:dyDescent="0.25">
      <c r="A268" s="108">
        <f>Données!A268</f>
        <v>5886</v>
      </c>
      <c r="B268" s="116" t="str">
        <f>Données!B268</f>
        <v>Montreux</v>
      </c>
      <c r="C268" s="246">
        <f>Données!C268</f>
        <v>27166</v>
      </c>
      <c r="D268" s="247">
        <f>Données!D268</f>
        <v>65</v>
      </c>
      <c r="E268" s="248">
        <f>Données!E268</f>
        <v>1.5</v>
      </c>
      <c r="F268" s="249">
        <f>Données!F268</f>
        <v>46140525.579999998</v>
      </c>
      <c r="G268" s="249">
        <f>Données!G268</f>
        <v>12737531.18</v>
      </c>
      <c r="H268" s="249">
        <f>Données!H268</f>
        <v>5398586.0499999998</v>
      </c>
      <c r="I268" s="249">
        <f>Données!I268</f>
        <v>797577.95</v>
      </c>
      <c r="J268" s="249">
        <f>Données!J268</f>
        <v>4606914.45</v>
      </c>
      <c r="K268" s="249">
        <f>Données!K268</f>
        <v>308296.63</v>
      </c>
      <c r="L268" s="249">
        <f>Données!L268</f>
        <v>-1296031.3700000001</v>
      </c>
      <c r="M268" s="249">
        <f>Données!M268</f>
        <v>0</v>
      </c>
      <c r="N268" s="249">
        <f>Données!N268</f>
        <v>589113.66478463507</v>
      </c>
      <c r="O268" s="249">
        <f>Données!O268</f>
        <v>11937114.800000001</v>
      </c>
      <c r="P268" s="249">
        <f>Données!P268</f>
        <v>2367599.7000000002</v>
      </c>
      <c r="Q268" s="249">
        <f>Données!Q268</f>
        <v>666113.4</v>
      </c>
      <c r="R268" s="249">
        <f>Données!R268</f>
        <v>-258260.12</v>
      </c>
      <c r="S268" s="241"/>
      <c r="T268" s="233">
        <f t="shared" si="24"/>
        <v>71836535.500059843</v>
      </c>
      <c r="U268" s="250">
        <f t="shared" si="25"/>
        <v>7958076.5333333341</v>
      </c>
      <c r="V268" s="250">
        <f t="shared" si="26"/>
        <v>2775452.98</v>
      </c>
      <c r="W268" s="251">
        <f t="shared" si="27"/>
        <v>82570065.013393179</v>
      </c>
      <c r="X268" s="233">
        <f t="shared" si="28"/>
        <v>3039.4634842594855</v>
      </c>
      <c r="Y268" s="252">
        <f t="shared" si="29"/>
        <v>0.88655657829583934</v>
      </c>
    </row>
    <row r="269" spans="1:25" x14ac:dyDescent="0.25">
      <c r="A269" s="108">
        <f>Données!A269</f>
        <v>5889</v>
      </c>
      <c r="B269" s="116" t="str">
        <f>Données!B269</f>
        <v>La Tour-de-Peilz</v>
      </c>
      <c r="C269" s="246">
        <f>Données!C269</f>
        <v>13053</v>
      </c>
      <c r="D269" s="247">
        <f>Données!D269</f>
        <v>64</v>
      </c>
      <c r="E269" s="248">
        <f>Données!E269</f>
        <v>1.2</v>
      </c>
      <c r="F269" s="249">
        <f>Données!F269</f>
        <v>28706081.02</v>
      </c>
      <c r="G269" s="249">
        <f>Données!G269</f>
        <v>6025771.6900000004</v>
      </c>
      <c r="H269" s="249">
        <f>Données!H269</f>
        <v>13491274.550000001</v>
      </c>
      <c r="I269" s="249">
        <f>Données!I269</f>
        <v>-564153.85</v>
      </c>
      <c r="J269" s="249">
        <f>Données!J269</f>
        <v>1008399.46</v>
      </c>
      <c r="K269" s="249">
        <f>Données!K269</f>
        <v>71653.8</v>
      </c>
      <c r="L269" s="249">
        <f>Données!L269</f>
        <v>-282641.96000000002</v>
      </c>
      <c r="M269" s="249">
        <f>Données!M269</f>
        <v>0</v>
      </c>
      <c r="N269" s="249">
        <f>Données!N269</f>
        <v>1229073.8997047718</v>
      </c>
      <c r="O269" s="249">
        <f>Données!O269</f>
        <v>3547197.85</v>
      </c>
      <c r="P269" s="249">
        <f>Données!P269</f>
        <v>898670.21</v>
      </c>
      <c r="Q269" s="249">
        <f>Données!Q269</f>
        <v>311366.90000000002</v>
      </c>
      <c r="R269" s="249">
        <f>Données!R269</f>
        <v>-4134779.33</v>
      </c>
      <c r="S269" s="241"/>
      <c r="T269" s="233">
        <f t="shared" si="24"/>
        <v>52322010.743958183</v>
      </c>
      <c r="U269" s="250">
        <f t="shared" si="25"/>
        <v>2955998.2083333335</v>
      </c>
      <c r="V269" s="250">
        <f t="shared" si="26"/>
        <v>-2924742.22</v>
      </c>
      <c r="W269" s="251">
        <f t="shared" si="27"/>
        <v>52353266.73229152</v>
      </c>
      <c r="X269" s="233">
        <f t="shared" si="28"/>
        <v>4010.8225490149025</v>
      </c>
      <c r="Y269" s="252">
        <f t="shared" si="29"/>
        <v>1.1698844659990264</v>
      </c>
    </row>
    <row r="270" spans="1:25" x14ac:dyDescent="0.25">
      <c r="A270" s="108">
        <f>Données!A270</f>
        <v>5890</v>
      </c>
      <c r="B270" s="116" t="str">
        <f>Données!B270</f>
        <v>Vevey</v>
      </c>
      <c r="C270" s="246">
        <f>Données!C270</f>
        <v>20179</v>
      </c>
      <c r="D270" s="247">
        <f>Données!D270</f>
        <v>74.5</v>
      </c>
      <c r="E270" s="248">
        <f>Données!E270</f>
        <v>1.5</v>
      </c>
      <c r="F270" s="249">
        <f>Données!F270</f>
        <v>39300302.289999999</v>
      </c>
      <c r="G270" s="249">
        <f>Données!G270</f>
        <v>6997932.2800000003</v>
      </c>
      <c r="H270" s="249">
        <f>Données!H270</f>
        <v>35304407.75</v>
      </c>
      <c r="I270" s="249">
        <f>Données!I270</f>
        <v>-1079745.75</v>
      </c>
      <c r="J270" s="249">
        <f>Données!J270</f>
        <v>212346.25</v>
      </c>
      <c r="K270" s="249">
        <f>Données!K270</f>
        <v>188047.99</v>
      </c>
      <c r="L270" s="249">
        <f>Données!L270</f>
        <v>-746108.31</v>
      </c>
      <c r="M270" s="249">
        <f>Données!M270</f>
        <v>0</v>
      </c>
      <c r="N270" s="249">
        <f>Données!N270</f>
        <v>3253983.602892925</v>
      </c>
      <c r="O270" s="249">
        <f>Données!O270</f>
        <v>6313744.1699999999</v>
      </c>
      <c r="P270" s="249">
        <f>Données!P270</f>
        <v>3451233.87</v>
      </c>
      <c r="Q270" s="249">
        <f>Données!Q270</f>
        <v>622499.19999999995</v>
      </c>
      <c r="R270" s="249">
        <f>Données!R270</f>
        <v>-8099728.5</v>
      </c>
      <c r="S270" s="241"/>
      <c r="T270" s="233">
        <f t="shared" si="24"/>
        <v>75475697.942739904</v>
      </c>
      <c r="U270" s="250">
        <f t="shared" si="25"/>
        <v>4209162.78</v>
      </c>
      <c r="V270" s="250">
        <f t="shared" si="26"/>
        <v>-4025995.4299999997</v>
      </c>
      <c r="W270" s="251">
        <f t="shared" si="27"/>
        <v>75658865.292739898</v>
      </c>
      <c r="X270" s="233">
        <f t="shared" si="28"/>
        <v>3749.3862576311958</v>
      </c>
      <c r="Y270" s="252">
        <f t="shared" si="29"/>
        <v>1.0936282236944863</v>
      </c>
    </row>
    <row r="271" spans="1:25" x14ac:dyDescent="0.25">
      <c r="A271" s="108">
        <f>Données!A271</f>
        <v>5891</v>
      </c>
      <c r="B271" s="116" t="str">
        <f>Données!B271</f>
        <v>Veytaux</v>
      </c>
      <c r="C271" s="246">
        <f>Données!C271</f>
        <v>1008</v>
      </c>
      <c r="D271" s="247">
        <f>Données!D271</f>
        <v>65</v>
      </c>
      <c r="E271" s="248">
        <f>Données!E271</f>
        <v>1.5</v>
      </c>
      <c r="F271" s="249">
        <f>Données!F271</f>
        <v>1551501.95</v>
      </c>
      <c r="G271" s="249">
        <f>Données!G271</f>
        <v>358885.76</v>
      </c>
      <c r="H271" s="249">
        <f>Données!H271</f>
        <v>198614.1</v>
      </c>
      <c r="I271" s="249">
        <f>Données!I271</f>
        <v>-73600.350000000006</v>
      </c>
      <c r="J271" s="249">
        <f>Données!J271</f>
        <v>0</v>
      </c>
      <c r="K271" s="249">
        <f>Données!K271</f>
        <v>7921.3</v>
      </c>
      <c r="L271" s="249">
        <f>Données!L271</f>
        <v>-71091.740000000005</v>
      </c>
      <c r="M271" s="249">
        <f>Données!M271</f>
        <v>0</v>
      </c>
      <c r="N271" s="249">
        <f>Données!N271</f>
        <v>11885.95208438159</v>
      </c>
      <c r="O271" s="249">
        <f>Données!O271</f>
        <v>481217.95</v>
      </c>
      <c r="P271" s="249">
        <f>Données!P271</f>
        <v>114796.91</v>
      </c>
      <c r="Q271" s="249">
        <f>Données!Q271</f>
        <v>19762.349999999999</v>
      </c>
      <c r="R271" s="249">
        <f>Données!R271</f>
        <v>-3925.2</v>
      </c>
      <c r="S271" s="241"/>
      <c r="T271" s="233">
        <f t="shared" si="24"/>
        <v>2057259.1956481836</v>
      </c>
      <c r="U271" s="250">
        <f t="shared" si="25"/>
        <v>320811.96666666667</v>
      </c>
      <c r="V271" s="250">
        <f t="shared" si="26"/>
        <v>130634.06000000001</v>
      </c>
      <c r="W271" s="251">
        <f t="shared" si="27"/>
        <v>2508705.2223148504</v>
      </c>
      <c r="X271" s="233">
        <f t="shared" si="28"/>
        <v>2488.7948634075897</v>
      </c>
      <c r="Y271" s="252">
        <f t="shared" si="29"/>
        <v>0.7259364916240999</v>
      </c>
    </row>
    <row r="272" spans="1:25" x14ac:dyDescent="0.25">
      <c r="A272" s="108">
        <f>Données!A272</f>
        <v>5892</v>
      </c>
      <c r="B272" s="116" t="str">
        <f>Données!B272</f>
        <v>Blonay-Saint-Légier</v>
      </c>
      <c r="C272" s="246">
        <f>Données!C272</f>
        <v>12597</v>
      </c>
      <c r="D272" s="247">
        <f>Données!D272</f>
        <v>67.5</v>
      </c>
      <c r="E272" s="248">
        <f>Données!E272</f>
        <v>1</v>
      </c>
      <c r="F272" s="249">
        <f>Données!F272</f>
        <v>36615278.850000001</v>
      </c>
      <c r="G272" s="249">
        <f>Données!G272</f>
        <v>8350715.9000000004</v>
      </c>
      <c r="H272" s="249">
        <f>Données!H272</f>
        <v>693933.1</v>
      </c>
      <c r="I272" s="249">
        <f>Données!I272</f>
        <v>150279.70000000001</v>
      </c>
      <c r="J272" s="249">
        <f>Données!J272</f>
        <v>976964.13</v>
      </c>
      <c r="K272" s="249">
        <f>Données!K272</f>
        <v>178666.93</v>
      </c>
      <c r="L272" s="249">
        <f>Données!L272</f>
        <v>-437983.27</v>
      </c>
      <c r="M272" s="249">
        <f>Données!M272</f>
        <v>0</v>
      </c>
      <c r="N272" s="249">
        <f>Données!N272</f>
        <v>80265.353929640696</v>
      </c>
      <c r="O272" s="249">
        <f>Données!O272</f>
        <v>3852424.55</v>
      </c>
      <c r="P272" s="249">
        <f>Données!P272</f>
        <v>210834.31</v>
      </c>
      <c r="Q272" s="249">
        <f>Données!Q272</f>
        <v>180357.7</v>
      </c>
      <c r="R272" s="249">
        <f>Données!R272</f>
        <v>-343710.38</v>
      </c>
      <c r="S272" s="241"/>
      <c r="T272" s="233">
        <f t="shared" si="24"/>
        <v>46536414.159000196</v>
      </c>
      <c r="U272" s="250">
        <f t="shared" si="25"/>
        <v>3852424.55</v>
      </c>
      <c r="V272" s="250">
        <f t="shared" si="26"/>
        <v>47481.630000000005</v>
      </c>
      <c r="W272" s="251">
        <f t="shared" si="27"/>
        <v>50436320.339000195</v>
      </c>
      <c r="X272" s="233">
        <f t="shared" si="28"/>
        <v>4003.835860839898</v>
      </c>
      <c r="Y272" s="252">
        <f t="shared" si="29"/>
        <v>1.1678465753008391</v>
      </c>
    </row>
    <row r="273" spans="1:25" x14ac:dyDescent="0.25">
      <c r="A273" s="108">
        <f>Données!A273</f>
        <v>5902</v>
      </c>
      <c r="B273" s="116" t="str">
        <f>Données!B273</f>
        <v>Belmont-sur-Yverdon</v>
      </c>
      <c r="C273" s="246">
        <f>Données!C273</f>
        <v>457</v>
      </c>
      <c r="D273" s="247">
        <f>Données!D273</f>
        <v>70</v>
      </c>
      <c r="E273" s="248">
        <f>Données!E273</f>
        <v>1</v>
      </c>
      <c r="F273" s="249">
        <f>Données!F273</f>
        <v>627042.93999999994</v>
      </c>
      <c r="G273" s="249">
        <f>Données!G273</f>
        <v>73345.679999999993</v>
      </c>
      <c r="H273" s="249">
        <f>Données!H273</f>
        <v>-1304.7</v>
      </c>
      <c r="I273" s="249">
        <f>Données!I273</f>
        <v>1431.5</v>
      </c>
      <c r="J273" s="249">
        <f>Données!J273</f>
        <v>0</v>
      </c>
      <c r="K273" s="249">
        <f>Données!K273</f>
        <v>0</v>
      </c>
      <c r="L273" s="249">
        <f>Données!L273</f>
        <v>-2763.52</v>
      </c>
      <c r="M273" s="249">
        <f>Données!M273</f>
        <v>0</v>
      </c>
      <c r="N273" s="249">
        <f>Données!N273</f>
        <v>12.055783658194279</v>
      </c>
      <c r="O273" s="249">
        <f>Données!O273</f>
        <v>78267.199999999997</v>
      </c>
      <c r="P273" s="249">
        <f>Données!P273</f>
        <v>9886.51</v>
      </c>
      <c r="Q273" s="249">
        <f>Données!Q273</f>
        <v>0</v>
      </c>
      <c r="R273" s="249">
        <f>Données!R273</f>
        <v>-61.7</v>
      </c>
      <c r="S273" s="241"/>
      <c r="T273" s="233">
        <f t="shared" si="24"/>
        <v>671808.64514529752</v>
      </c>
      <c r="U273" s="250">
        <f t="shared" si="25"/>
        <v>78267.199999999997</v>
      </c>
      <c r="V273" s="250">
        <f t="shared" si="26"/>
        <v>9824.81</v>
      </c>
      <c r="W273" s="251">
        <f t="shared" si="27"/>
        <v>759900.65514529753</v>
      </c>
      <c r="X273" s="233">
        <f t="shared" si="28"/>
        <v>1662.8023088518546</v>
      </c>
      <c r="Y273" s="252">
        <f t="shared" si="29"/>
        <v>0.48500938831883289</v>
      </c>
    </row>
    <row r="274" spans="1:25" x14ac:dyDescent="0.25">
      <c r="A274" s="108">
        <f>Données!A274</f>
        <v>5903</v>
      </c>
      <c r="B274" s="116" t="str">
        <f>Données!B274</f>
        <v>Bioley-Magnoux</v>
      </c>
      <c r="C274" s="246">
        <f>Données!C274</f>
        <v>252</v>
      </c>
      <c r="D274" s="247">
        <f>Données!D274</f>
        <v>72</v>
      </c>
      <c r="E274" s="248">
        <f>Données!E274</f>
        <v>0.7</v>
      </c>
      <c r="F274" s="249">
        <f>Données!F274</f>
        <v>377068.39</v>
      </c>
      <c r="G274" s="249">
        <f>Données!G274</f>
        <v>48444.65</v>
      </c>
      <c r="H274" s="249">
        <f>Données!H274</f>
        <v>6881.5</v>
      </c>
      <c r="I274" s="249">
        <f>Données!I274</f>
        <v>904.5</v>
      </c>
      <c r="J274" s="249">
        <f>Données!J274</f>
        <v>0</v>
      </c>
      <c r="K274" s="249">
        <f>Données!K274</f>
        <v>0</v>
      </c>
      <c r="L274" s="249">
        <f>Données!L274</f>
        <v>-6675.8</v>
      </c>
      <c r="M274" s="249">
        <f>Données!M274</f>
        <v>0</v>
      </c>
      <c r="N274" s="249">
        <f>Données!N274</f>
        <v>740.27075364905909</v>
      </c>
      <c r="O274" s="249">
        <f>Données!O274</f>
        <v>30680.25</v>
      </c>
      <c r="P274" s="249">
        <f>Données!P274</f>
        <v>863.04</v>
      </c>
      <c r="Q274" s="249">
        <f>Données!Q274</f>
        <v>0</v>
      </c>
      <c r="R274" s="249">
        <f>Données!R274</f>
        <v>-124.7</v>
      </c>
      <c r="S274" s="241"/>
      <c r="T274" s="233">
        <f t="shared" si="24"/>
        <v>400036.88674793014</v>
      </c>
      <c r="U274" s="250">
        <f t="shared" si="25"/>
        <v>43828.928571428572</v>
      </c>
      <c r="V274" s="250">
        <f t="shared" si="26"/>
        <v>738.33999999999992</v>
      </c>
      <c r="W274" s="251">
        <f t="shared" si="27"/>
        <v>444604.15531935875</v>
      </c>
      <c r="X274" s="233">
        <f t="shared" si="28"/>
        <v>1764.3022036482489</v>
      </c>
      <c r="Y274" s="252">
        <f t="shared" si="29"/>
        <v>0.5146150736294437</v>
      </c>
    </row>
    <row r="275" spans="1:25" x14ac:dyDescent="0.25">
      <c r="A275" s="108">
        <f>Données!A275</f>
        <v>5904</v>
      </c>
      <c r="B275" s="116" t="str">
        <f>Données!B275</f>
        <v>Chamblon</v>
      </c>
      <c r="C275" s="246">
        <f>Données!C275</f>
        <v>558</v>
      </c>
      <c r="D275" s="247">
        <f>Données!D275</f>
        <v>66</v>
      </c>
      <c r="E275" s="248">
        <f>Données!E275</f>
        <v>1</v>
      </c>
      <c r="F275" s="249">
        <f>Données!F275</f>
        <v>1135814.6499999999</v>
      </c>
      <c r="G275" s="249">
        <f>Données!G275</f>
        <v>164007.89000000001</v>
      </c>
      <c r="H275" s="249">
        <f>Données!H275</f>
        <v>35352.65</v>
      </c>
      <c r="I275" s="249">
        <f>Données!I275</f>
        <v>1199.8</v>
      </c>
      <c r="J275" s="249">
        <f>Données!J275</f>
        <v>0</v>
      </c>
      <c r="K275" s="249">
        <f>Données!K275</f>
        <v>2850.25</v>
      </c>
      <c r="L275" s="249">
        <f>Données!L275</f>
        <v>-6137.55</v>
      </c>
      <c r="M275" s="249">
        <f>Données!M275</f>
        <v>0</v>
      </c>
      <c r="N275" s="249">
        <f>Données!N275</f>
        <v>3475.3030707962439</v>
      </c>
      <c r="O275" s="249">
        <f>Données!O275</f>
        <v>104498.9</v>
      </c>
      <c r="P275" s="249">
        <f>Données!P275</f>
        <v>15759.55</v>
      </c>
      <c r="Q275" s="249">
        <f>Données!Q275</f>
        <v>4018.2</v>
      </c>
      <c r="R275" s="249">
        <f>Données!R275</f>
        <v>-47.3</v>
      </c>
      <c r="S275" s="241"/>
      <c r="T275" s="233">
        <f t="shared" si="24"/>
        <v>1364836.3901498269</v>
      </c>
      <c r="U275" s="250">
        <f t="shared" si="25"/>
        <v>104498.9</v>
      </c>
      <c r="V275" s="250">
        <f t="shared" si="26"/>
        <v>19730.45</v>
      </c>
      <c r="W275" s="251">
        <f t="shared" si="27"/>
        <v>1489065.7401498267</v>
      </c>
      <c r="X275" s="233">
        <f t="shared" si="28"/>
        <v>2668.5765952505853</v>
      </c>
      <c r="Y275" s="252">
        <f t="shared" si="29"/>
        <v>0.77837557432676907</v>
      </c>
    </row>
    <row r="276" spans="1:25" x14ac:dyDescent="0.25">
      <c r="A276" s="108">
        <f>Données!A276</f>
        <v>5905</v>
      </c>
      <c r="B276" s="116" t="str">
        <f>Données!B276</f>
        <v>Champvent</v>
      </c>
      <c r="C276" s="246">
        <f>Données!C276</f>
        <v>692</v>
      </c>
      <c r="D276" s="247">
        <f>Données!D276</f>
        <v>70</v>
      </c>
      <c r="E276" s="248">
        <f>Données!E276</f>
        <v>1</v>
      </c>
      <c r="F276" s="249">
        <f>Données!F276</f>
        <v>965974.6</v>
      </c>
      <c r="G276" s="249">
        <f>Données!G276</f>
        <v>128529.18</v>
      </c>
      <c r="H276" s="249">
        <f>Données!H276</f>
        <v>-39563.35</v>
      </c>
      <c r="I276" s="249">
        <f>Données!I276</f>
        <v>5282.75</v>
      </c>
      <c r="J276" s="249">
        <f>Données!J276</f>
        <v>0</v>
      </c>
      <c r="K276" s="249">
        <f>Données!K276</f>
        <v>4903.3</v>
      </c>
      <c r="L276" s="249">
        <f>Données!L276</f>
        <v>-11447.15</v>
      </c>
      <c r="M276" s="249">
        <f>Données!M276</f>
        <v>0</v>
      </c>
      <c r="N276" s="249">
        <f>Données!N276</f>
        <v>-3259.302028967626</v>
      </c>
      <c r="O276" s="249">
        <f>Données!O276</f>
        <v>119687</v>
      </c>
      <c r="P276" s="249">
        <f>Données!P276</f>
        <v>26546.07</v>
      </c>
      <c r="Q276" s="249">
        <f>Données!Q276</f>
        <v>3646.65</v>
      </c>
      <c r="R276" s="249">
        <f>Données!R276</f>
        <v>-47.8</v>
      </c>
      <c r="S276" s="241"/>
      <c r="T276" s="233">
        <f t="shared" si="24"/>
        <v>1011346.6738650249</v>
      </c>
      <c r="U276" s="250">
        <f t="shared" si="25"/>
        <v>119687</v>
      </c>
      <c r="V276" s="250">
        <f t="shared" si="26"/>
        <v>30144.920000000002</v>
      </c>
      <c r="W276" s="251">
        <f t="shared" si="27"/>
        <v>1161178.5938650249</v>
      </c>
      <c r="X276" s="233">
        <f t="shared" si="28"/>
        <v>1678.0037483598626</v>
      </c>
      <c r="Y276" s="252">
        <f t="shared" si="29"/>
        <v>0.48944337354852357</v>
      </c>
    </row>
    <row r="277" spans="1:25" x14ac:dyDescent="0.25">
      <c r="A277" s="108">
        <f>Données!A277</f>
        <v>5907</v>
      </c>
      <c r="B277" s="116" t="str">
        <f>Données!B277</f>
        <v>Chavannes-le-Chêne</v>
      </c>
      <c r="C277" s="246">
        <f>Données!C277</f>
        <v>329</v>
      </c>
      <c r="D277" s="247">
        <f>Données!D277</f>
        <v>75</v>
      </c>
      <c r="E277" s="248">
        <f>Données!E277</f>
        <v>1</v>
      </c>
      <c r="F277" s="249">
        <f>Données!F277</f>
        <v>502765.84</v>
      </c>
      <c r="G277" s="249">
        <f>Données!G277</f>
        <v>69806.789999999994</v>
      </c>
      <c r="H277" s="249">
        <f>Données!H277</f>
        <v>4405.1499999999996</v>
      </c>
      <c r="I277" s="249">
        <f>Données!I277</f>
        <v>785.55</v>
      </c>
      <c r="J277" s="249">
        <f>Données!J277</f>
        <v>0</v>
      </c>
      <c r="K277" s="249">
        <f>Données!K277</f>
        <v>-3030.86</v>
      </c>
      <c r="L277" s="249">
        <f>Données!L277</f>
        <v>-13723.26</v>
      </c>
      <c r="M277" s="249">
        <f>Données!M277</f>
        <v>0</v>
      </c>
      <c r="N277" s="249">
        <f>Données!N277</f>
        <v>493.51700500464563</v>
      </c>
      <c r="O277" s="249">
        <f>Données!O277</f>
        <v>55273.5</v>
      </c>
      <c r="P277" s="249">
        <f>Données!P277</f>
        <v>3395.43</v>
      </c>
      <c r="Q277" s="249">
        <f>Données!Q277</f>
        <v>1078.2</v>
      </c>
      <c r="R277" s="249">
        <f>Données!R277</f>
        <v>-110.65</v>
      </c>
      <c r="S277" s="241"/>
      <c r="T277" s="233">
        <f t="shared" si="24"/>
        <v>504574.97019064712</v>
      </c>
      <c r="U277" s="250">
        <f t="shared" si="25"/>
        <v>55273.5</v>
      </c>
      <c r="V277" s="250">
        <f t="shared" si="26"/>
        <v>4362.9800000000005</v>
      </c>
      <c r="W277" s="251">
        <f t="shared" si="27"/>
        <v>564211.45019064704</v>
      </c>
      <c r="X277" s="233">
        <f t="shared" si="28"/>
        <v>1714.9284200323618</v>
      </c>
      <c r="Y277" s="252">
        <f t="shared" si="29"/>
        <v>0.50021363308353617</v>
      </c>
    </row>
    <row r="278" spans="1:25" x14ac:dyDescent="0.25">
      <c r="A278" s="108">
        <f>Données!A278</f>
        <v>5908</v>
      </c>
      <c r="B278" s="116" t="str">
        <f>Données!B278</f>
        <v>Chêne-Pâquier</v>
      </c>
      <c r="C278" s="246">
        <f>Données!C278</f>
        <v>172</v>
      </c>
      <c r="D278" s="247">
        <f>Données!D278</f>
        <v>75</v>
      </c>
      <c r="E278" s="248">
        <f>Données!E278</f>
        <v>1</v>
      </c>
      <c r="F278" s="249">
        <f>Données!F278</f>
        <v>235480.58</v>
      </c>
      <c r="G278" s="249">
        <f>Données!G278</f>
        <v>53313.52</v>
      </c>
      <c r="H278" s="249">
        <f>Données!H278</f>
        <v>6780.3</v>
      </c>
      <c r="I278" s="249">
        <f>Données!I278</f>
        <v>820.3</v>
      </c>
      <c r="J278" s="249">
        <f>Données!J278</f>
        <v>0</v>
      </c>
      <c r="K278" s="249">
        <f>Données!K278</f>
        <v>0</v>
      </c>
      <c r="L278" s="249">
        <f>Données!L278</f>
        <v>-1075.45</v>
      </c>
      <c r="M278" s="249">
        <f>Données!M278</f>
        <v>0</v>
      </c>
      <c r="N278" s="249">
        <f>Données!N278</f>
        <v>722.64344852106842</v>
      </c>
      <c r="O278" s="249">
        <f>Données!O278</f>
        <v>29982.45</v>
      </c>
      <c r="P278" s="249">
        <f>Données!P278</f>
        <v>1260.0999999999999</v>
      </c>
      <c r="Q278" s="249">
        <f>Données!Q278</f>
        <v>92.95</v>
      </c>
      <c r="R278" s="249">
        <f>Données!R278</f>
        <v>-423.65</v>
      </c>
      <c r="S278" s="241"/>
      <c r="T278" s="233">
        <f t="shared" si="24"/>
        <v>266027.79003179946</v>
      </c>
      <c r="U278" s="250">
        <f t="shared" si="25"/>
        <v>29982.45</v>
      </c>
      <c r="V278" s="250">
        <f t="shared" si="26"/>
        <v>929.4</v>
      </c>
      <c r="W278" s="251">
        <f t="shared" si="27"/>
        <v>296939.6400317995</v>
      </c>
      <c r="X278" s="233">
        <f t="shared" si="28"/>
        <v>1726.3932559988343</v>
      </c>
      <c r="Y278" s="252">
        <f t="shared" si="29"/>
        <v>0.5035577185768465</v>
      </c>
    </row>
    <row r="279" spans="1:25" x14ac:dyDescent="0.25">
      <c r="A279" s="108">
        <f>Données!A279</f>
        <v>5909</v>
      </c>
      <c r="B279" s="116" t="str">
        <f>Données!B279</f>
        <v>Cheseaux-Noréaz</v>
      </c>
      <c r="C279" s="246">
        <f>Données!C279</f>
        <v>745</v>
      </c>
      <c r="D279" s="247">
        <f>Données!D279</f>
        <v>67</v>
      </c>
      <c r="E279" s="248">
        <f>Données!E279</f>
        <v>1</v>
      </c>
      <c r="F279" s="249">
        <f>Données!F279</f>
        <v>1807809.85</v>
      </c>
      <c r="G279" s="249">
        <f>Données!G279</f>
        <v>336536.57</v>
      </c>
      <c r="H279" s="249">
        <f>Données!H279</f>
        <v>-8157.3</v>
      </c>
      <c r="I279" s="249">
        <f>Données!I279</f>
        <v>1615.3</v>
      </c>
      <c r="J279" s="249">
        <f>Données!J279</f>
        <v>0</v>
      </c>
      <c r="K279" s="249">
        <f>Données!K279</f>
        <v>0</v>
      </c>
      <c r="L279" s="249">
        <f>Données!L279</f>
        <v>-1367.38</v>
      </c>
      <c r="M279" s="249">
        <f>Données!M279</f>
        <v>0</v>
      </c>
      <c r="N279" s="249">
        <f>Données!N279</f>
        <v>-621.99476886361992</v>
      </c>
      <c r="O279" s="249">
        <f>Données!O279</f>
        <v>181615.6</v>
      </c>
      <c r="P279" s="249">
        <f>Données!P279</f>
        <v>19852.28</v>
      </c>
      <c r="Q279" s="249">
        <f>Données!Q279</f>
        <v>-1414</v>
      </c>
      <c r="R279" s="249">
        <f>Données!R279</f>
        <v>-1706.1</v>
      </c>
      <c r="S279" s="241"/>
      <c r="T279" s="233">
        <f t="shared" si="24"/>
        <v>2148443.4927190016</v>
      </c>
      <c r="U279" s="250">
        <f t="shared" si="25"/>
        <v>181615.6</v>
      </c>
      <c r="V279" s="250">
        <f t="shared" si="26"/>
        <v>16732.18</v>
      </c>
      <c r="W279" s="251">
        <f t="shared" si="27"/>
        <v>2346791.2727190019</v>
      </c>
      <c r="X279" s="233">
        <f t="shared" si="28"/>
        <v>3150.0553996228214</v>
      </c>
      <c r="Y279" s="252">
        <f t="shared" si="29"/>
        <v>0.91881424172211645</v>
      </c>
    </row>
    <row r="280" spans="1:25" x14ac:dyDescent="0.25">
      <c r="A280" s="108">
        <f>Données!A280</f>
        <v>5910</v>
      </c>
      <c r="B280" s="116" t="str">
        <f>Données!B280</f>
        <v>Cronay</v>
      </c>
      <c r="C280" s="246">
        <f>Données!C280</f>
        <v>432</v>
      </c>
      <c r="D280" s="247">
        <f>Données!D280</f>
        <v>75</v>
      </c>
      <c r="E280" s="248">
        <f>Données!E280</f>
        <v>1</v>
      </c>
      <c r="F280" s="249">
        <f>Données!F280</f>
        <v>579557.22</v>
      </c>
      <c r="G280" s="249">
        <f>Données!G280</f>
        <v>94338.64</v>
      </c>
      <c r="H280" s="249">
        <f>Données!H280</f>
        <v>-917.5</v>
      </c>
      <c r="I280" s="249">
        <f>Données!I280</f>
        <v>1754.65</v>
      </c>
      <c r="J280" s="249">
        <f>Données!J280</f>
        <v>0</v>
      </c>
      <c r="K280" s="249">
        <f>Données!K280</f>
        <v>2633.79</v>
      </c>
      <c r="L280" s="249">
        <f>Données!L280</f>
        <v>526.96</v>
      </c>
      <c r="M280" s="249">
        <f>Données!M280</f>
        <v>0</v>
      </c>
      <c r="N280" s="249">
        <f>Données!N280</f>
        <v>79.593842976792956</v>
      </c>
      <c r="O280" s="249">
        <f>Données!O280</f>
        <v>70950.350000000006</v>
      </c>
      <c r="P280" s="249">
        <f>Données!P280</f>
        <v>5948.94</v>
      </c>
      <c r="Q280" s="249">
        <f>Données!Q280</f>
        <v>0</v>
      </c>
      <c r="R280" s="249">
        <f>Données!R280</f>
        <v>0</v>
      </c>
      <c r="S280" s="241"/>
      <c r="T280" s="233">
        <f t="shared" si="24"/>
        <v>609237.26342352037</v>
      </c>
      <c r="U280" s="250">
        <f t="shared" si="25"/>
        <v>70950.350000000006</v>
      </c>
      <c r="V280" s="250">
        <f t="shared" si="26"/>
        <v>5948.94</v>
      </c>
      <c r="W280" s="251">
        <f t="shared" si="27"/>
        <v>686136.55342352029</v>
      </c>
      <c r="X280" s="233">
        <f t="shared" si="28"/>
        <v>1588.2790588507414</v>
      </c>
      <c r="Y280" s="252">
        <f t="shared" si="29"/>
        <v>0.46327230285403781</v>
      </c>
    </row>
    <row r="281" spans="1:25" x14ac:dyDescent="0.25">
      <c r="A281" s="108">
        <f>Données!A281</f>
        <v>5911</v>
      </c>
      <c r="B281" s="116" t="str">
        <f>Données!B281</f>
        <v>Cuarny</v>
      </c>
      <c r="C281" s="246">
        <f>Données!C281</f>
        <v>244</v>
      </c>
      <c r="D281" s="247">
        <f>Données!D281</f>
        <v>77</v>
      </c>
      <c r="E281" s="248">
        <f>Données!E281</f>
        <v>1</v>
      </c>
      <c r="F281" s="249">
        <f>Données!F281</f>
        <v>434176.41</v>
      </c>
      <c r="G281" s="249">
        <f>Données!G281</f>
        <v>55427.65</v>
      </c>
      <c r="H281" s="249">
        <f>Données!H281</f>
        <v>8368.85</v>
      </c>
      <c r="I281" s="249">
        <f>Données!I281</f>
        <v>1403.9</v>
      </c>
      <c r="J281" s="249">
        <f>Données!J281</f>
        <v>0</v>
      </c>
      <c r="K281" s="249">
        <f>Données!K281</f>
        <v>0</v>
      </c>
      <c r="L281" s="249">
        <f>Données!L281</f>
        <v>-290.79000000000002</v>
      </c>
      <c r="M281" s="249">
        <f>Données!M281</f>
        <v>0</v>
      </c>
      <c r="N281" s="249">
        <f>Données!N281</f>
        <v>929.16529767837687</v>
      </c>
      <c r="O281" s="249">
        <f>Données!O281</f>
        <v>38600.800000000003</v>
      </c>
      <c r="P281" s="249">
        <f>Données!P281</f>
        <v>3668.12</v>
      </c>
      <c r="Q281" s="249">
        <f>Données!Q281</f>
        <v>2440.0500000000002</v>
      </c>
      <c r="R281" s="249">
        <f>Données!R281</f>
        <v>0</v>
      </c>
      <c r="S281" s="241"/>
      <c r="T281" s="233">
        <f t="shared" si="24"/>
        <v>437650.63763855229</v>
      </c>
      <c r="U281" s="250">
        <f t="shared" si="25"/>
        <v>38600.800000000003</v>
      </c>
      <c r="V281" s="250">
        <f t="shared" si="26"/>
        <v>6108.17</v>
      </c>
      <c r="W281" s="251">
        <f t="shared" si="27"/>
        <v>482359.60763855226</v>
      </c>
      <c r="X281" s="233">
        <f t="shared" si="28"/>
        <v>1976.8836378629192</v>
      </c>
      <c r="Y281" s="252">
        <f t="shared" si="29"/>
        <v>0.57662123685614108</v>
      </c>
    </row>
    <row r="282" spans="1:25" x14ac:dyDescent="0.25">
      <c r="A282" s="108">
        <f>Données!A282</f>
        <v>5912</v>
      </c>
      <c r="B282" s="116" t="str">
        <f>Données!B282</f>
        <v>Démoret</v>
      </c>
      <c r="C282" s="246">
        <f>Données!C282</f>
        <v>181</v>
      </c>
      <c r="D282" s="247">
        <f>Données!D282</f>
        <v>78</v>
      </c>
      <c r="E282" s="248">
        <f>Données!E282</f>
        <v>1</v>
      </c>
      <c r="F282" s="249">
        <f>Données!F282</f>
        <v>266621.07</v>
      </c>
      <c r="G282" s="249">
        <f>Données!G282</f>
        <v>35149.35</v>
      </c>
      <c r="H282" s="249">
        <f>Données!H282</f>
        <v>11965.7</v>
      </c>
      <c r="I282" s="249">
        <f>Données!I282</f>
        <v>1130.95</v>
      </c>
      <c r="J282" s="249">
        <f>Données!J282</f>
        <v>0</v>
      </c>
      <c r="K282" s="249">
        <f>Données!K282</f>
        <v>0</v>
      </c>
      <c r="L282" s="249">
        <f>Données!L282</f>
        <v>-1134.67</v>
      </c>
      <c r="M282" s="249">
        <f>Données!M282</f>
        <v>0</v>
      </c>
      <c r="N282" s="249">
        <f>Données!N282</f>
        <v>1245.1922637783139</v>
      </c>
      <c r="O282" s="249">
        <f>Données!O282</f>
        <v>25948.400000000001</v>
      </c>
      <c r="P282" s="249">
        <f>Données!P282</f>
        <v>10533.47</v>
      </c>
      <c r="Q282" s="249">
        <f>Données!Q282</f>
        <v>0</v>
      </c>
      <c r="R282" s="249">
        <f>Données!R282</f>
        <v>0</v>
      </c>
      <c r="S282" s="241"/>
      <c r="T282" s="233">
        <f t="shared" si="24"/>
        <v>272157.40353043389</v>
      </c>
      <c r="U282" s="250">
        <f t="shared" si="25"/>
        <v>25948.400000000001</v>
      </c>
      <c r="V282" s="250">
        <f t="shared" si="26"/>
        <v>10533.47</v>
      </c>
      <c r="W282" s="251">
        <f t="shared" si="27"/>
        <v>308639.27353043389</v>
      </c>
      <c r="X282" s="233">
        <f t="shared" si="28"/>
        <v>1705.1893565217342</v>
      </c>
      <c r="Y282" s="252">
        <f t="shared" si="29"/>
        <v>0.49737292423261487</v>
      </c>
    </row>
    <row r="283" spans="1:25" x14ac:dyDescent="0.25">
      <c r="A283" s="108">
        <f>Données!A283</f>
        <v>5913</v>
      </c>
      <c r="B283" s="116" t="str">
        <f>Données!B283</f>
        <v>Donneloye</v>
      </c>
      <c r="C283" s="246">
        <f>Données!C283</f>
        <v>905</v>
      </c>
      <c r="D283" s="247">
        <f>Données!D283</f>
        <v>73</v>
      </c>
      <c r="E283" s="248">
        <f>Données!E283</f>
        <v>1</v>
      </c>
      <c r="F283" s="249">
        <f>Données!F283</f>
        <v>1318472.8999999999</v>
      </c>
      <c r="G283" s="249">
        <f>Données!G283</f>
        <v>173821.37</v>
      </c>
      <c r="H283" s="249">
        <f>Données!H283</f>
        <v>9377.7999999999993</v>
      </c>
      <c r="I283" s="249">
        <f>Données!I283</f>
        <v>674.4</v>
      </c>
      <c r="J283" s="249">
        <f>Données!J283</f>
        <v>0</v>
      </c>
      <c r="K283" s="249">
        <f>Données!K283</f>
        <v>0</v>
      </c>
      <c r="L283" s="249">
        <f>Données!L283</f>
        <v>-16115.07</v>
      </c>
      <c r="M283" s="249">
        <f>Données!M283</f>
        <v>0</v>
      </c>
      <c r="N283" s="249">
        <f>Données!N283</f>
        <v>955.73460953391611</v>
      </c>
      <c r="O283" s="249">
        <f>Données!O283</f>
        <v>138992.24</v>
      </c>
      <c r="P283" s="249">
        <f>Données!P283</f>
        <v>31621.599999999999</v>
      </c>
      <c r="Q283" s="249">
        <f>Données!Q283</f>
        <v>1422.7</v>
      </c>
      <c r="R283" s="249">
        <f>Données!R283</f>
        <v>-556.85</v>
      </c>
      <c r="S283" s="241"/>
      <c r="T283" s="233">
        <f t="shared" si="24"/>
        <v>1373023.1395582506</v>
      </c>
      <c r="U283" s="250">
        <f t="shared" si="25"/>
        <v>138992.24</v>
      </c>
      <c r="V283" s="250">
        <f t="shared" si="26"/>
        <v>32487.449999999997</v>
      </c>
      <c r="W283" s="251">
        <f t="shared" si="27"/>
        <v>1544502.8295582505</v>
      </c>
      <c r="X283" s="233">
        <f t="shared" si="28"/>
        <v>1706.6329608378458</v>
      </c>
      <c r="Y283" s="252">
        <f t="shared" si="29"/>
        <v>0.49779399752713965</v>
      </c>
    </row>
    <row r="284" spans="1:25" x14ac:dyDescent="0.25">
      <c r="A284" s="108">
        <f>Données!A284</f>
        <v>5914</v>
      </c>
      <c r="B284" s="116" t="str">
        <f>Données!B284</f>
        <v>Ependes</v>
      </c>
      <c r="C284" s="246">
        <f>Données!C284</f>
        <v>376</v>
      </c>
      <c r="D284" s="247">
        <f>Données!D284</f>
        <v>73.5</v>
      </c>
      <c r="E284" s="248">
        <f>Données!E284</f>
        <v>1</v>
      </c>
      <c r="F284" s="249">
        <f>Données!F284</f>
        <v>578094.31999999995</v>
      </c>
      <c r="G284" s="249">
        <f>Données!G284</f>
        <v>47234.33</v>
      </c>
      <c r="H284" s="249">
        <f>Données!H284</f>
        <v>7332.55</v>
      </c>
      <c r="I284" s="249">
        <f>Données!I284</f>
        <v>3047.5</v>
      </c>
      <c r="J284" s="249">
        <f>Données!J284</f>
        <v>0</v>
      </c>
      <c r="K284" s="249">
        <f>Données!K284</f>
        <v>0</v>
      </c>
      <c r="L284" s="249">
        <f>Données!L284</f>
        <v>-15227.66</v>
      </c>
      <c r="M284" s="249">
        <f>Données!M284</f>
        <v>0</v>
      </c>
      <c r="N284" s="249">
        <f>Données!N284</f>
        <v>986.9056558457379</v>
      </c>
      <c r="O284" s="249">
        <f>Données!O284</f>
        <v>70081.350000000006</v>
      </c>
      <c r="P284" s="249">
        <f>Données!P284</f>
        <v>14920.17</v>
      </c>
      <c r="Q284" s="249">
        <f>Données!Q284</f>
        <v>8054.15</v>
      </c>
      <c r="R284" s="249">
        <f>Données!R284</f>
        <v>0</v>
      </c>
      <c r="S284" s="241"/>
      <c r="T284" s="233">
        <f t="shared" si="24"/>
        <v>569857.79204534343</v>
      </c>
      <c r="U284" s="250">
        <f t="shared" si="25"/>
        <v>70081.350000000006</v>
      </c>
      <c r="V284" s="250">
        <f t="shared" si="26"/>
        <v>22974.32</v>
      </c>
      <c r="W284" s="251">
        <f t="shared" si="27"/>
        <v>662913.46204534336</v>
      </c>
      <c r="X284" s="233">
        <f t="shared" si="28"/>
        <v>1763.0677182057004</v>
      </c>
      <c r="Y284" s="252">
        <f t="shared" si="29"/>
        <v>0.51425499653176854</v>
      </c>
    </row>
    <row r="285" spans="1:25" x14ac:dyDescent="0.25">
      <c r="A285" s="108">
        <f>Données!A285</f>
        <v>5941</v>
      </c>
      <c r="B285" s="116" t="str">
        <f>Données!B285</f>
        <v>Mathod-Suscévaz</v>
      </c>
      <c r="C285" s="246">
        <f>Données!C285</f>
        <v>1003</v>
      </c>
      <c r="D285" s="247">
        <f>Données!D285</f>
        <v>72</v>
      </c>
      <c r="E285" s="248">
        <f>Données!E285</f>
        <v>1.2</v>
      </c>
      <c r="F285" s="249">
        <f>Données!F285</f>
        <v>1645278.4300000002</v>
      </c>
      <c r="G285" s="249">
        <f>Données!G285</f>
        <v>212726.5</v>
      </c>
      <c r="H285" s="249">
        <f>Données!H285</f>
        <v>46323.649999999994</v>
      </c>
      <c r="I285" s="249">
        <f>Données!I285</f>
        <v>15974.3</v>
      </c>
      <c r="J285" s="249">
        <f>Données!J285</f>
        <v>0</v>
      </c>
      <c r="K285" s="249">
        <f>Données!K285</f>
        <v>6776.43</v>
      </c>
      <c r="L285" s="249">
        <f>Données!L285</f>
        <v>-34680.410000000003</v>
      </c>
      <c r="M285" s="249">
        <f>Données!M285</f>
        <v>0</v>
      </c>
      <c r="N285" s="249">
        <f>Données!N285</f>
        <v>5923.1120469164398</v>
      </c>
      <c r="O285" s="249">
        <f>Données!O285</f>
        <v>214946.24</v>
      </c>
      <c r="P285" s="249">
        <f>Données!P285</f>
        <v>73520.36</v>
      </c>
      <c r="Q285" s="249">
        <f>Données!Q285</f>
        <v>15518.800000000001</v>
      </c>
      <c r="R285" s="249">
        <f>Données!R285</f>
        <v>-632.05000000000007</v>
      </c>
      <c r="S285" s="241"/>
      <c r="T285" s="233">
        <f t="shared" si="24"/>
        <v>1776938.8556480333</v>
      </c>
      <c r="U285" s="250">
        <f t="shared" si="25"/>
        <v>179121.86666666667</v>
      </c>
      <c r="V285" s="250">
        <f t="shared" si="26"/>
        <v>88407.11</v>
      </c>
      <c r="W285" s="251">
        <f t="shared" si="27"/>
        <v>2044467.8323147001</v>
      </c>
      <c r="X285" s="233">
        <f t="shared" si="28"/>
        <v>2038.3527739927219</v>
      </c>
      <c r="Y285" s="252">
        <f t="shared" si="29"/>
        <v>0.59455067317944543</v>
      </c>
    </row>
    <row r="286" spans="1:25" x14ac:dyDescent="0.25">
      <c r="A286" s="108">
        <f>Données!A286</f>
        <v>5921</v>
      </c>
      <c r="B286" s="116" t="str">
        <f>Données!B286</f>
        <v>Molondin</v>
      </c>
      <c r="C286" s="246">
        <f>Données!C286</f>
        <v>260</v>
      </c>
      <c r="D286" s="247">
        <f>Données!D286</f>
        <v>81</v>
      </c>
      <c r="E286" s="248">
        <f>Données!E286</f>
        <v>1</v>
      </c>
      <c r="F286" s="249">
        <f>Données!F286</f>
        <v>386243.22</v>
      </c>
      <c r="G286" s="249">
        <f>Données!G286</f>
        <v>82206.05</v>
      </c>
      <c r="H286" s="249">
        <f>Données!H286</f>
        <v>4920.1499999999996</v>
      </c>
      <c r="I286" s="249">
        <f>Données!I286</f>
        <v>2241.5500000000002</v>
      </c>
      <c r="J286" s="249">
        <f>Données!J286</f>
        <v>0</v>
      </c>
      <c r="K286" s="249">
        <f>Données!K286</f>
        <v>1882.24</v>
      </c>
      <c r="L286" s="249">
        <f>Données!L286</f>
        <v>-9883.23</v>
      </c>
      <c r="M286" s="249">
        <f>Données!M286</f>
        <v>0</v>
      </c>
      <c r="N286" s="249">
        <f>Données!N286</f>
        <v>680.91408379250788</v>
      </c>
      <c r="O286" s="249">
        <f>Données!O286</f>
        <v>42713.3</v>
      </c>
      <c r="P286" s="249">
        <f>Données!P286</f>
        <v>25244.76</v>
      </c>
      <c r="Q286" s="249">
        <f>Données!Q286</f>
        <v>0</v>
      </c>
      <c r="R286" s="249">
        <f>Données!R286</f>
        <v>0</v>
      </c>
      <c r="S286" s="241"/>
      <c r="T286" s="233">
        <f t="shared" si="24"/>
        <v>389642.02427800995</v>
      </c>
      <c r="U286" s="250">
        <f t="shared" si="25"/>
        <v>42713.3</v>
      </c>
      <c r="V286" s="250">
        <f t="shared" si="26"/>
        <v>25244.76</v>
      </c>
      <c r="W286" s="251">
        <f t="shared" si="27"/>
        <v>457600.08427800995</v>
      </c>
      <c r="X286" s="233">
        <f t="shared" si="28"/>
        <v>1760.000324146192</v>
      </c>
      <c r="Y286" s="252">
        <f t="shared" si="29"/>
        <v>0.51336029310935016</v>
      </c>
    </row>
    <row r="287" spans="1:25" x14ac:dyDescent="0.25">
      <c r="A287" s="108">
        <f>Données!A287</f>
        <v>5922</v>
      </c>
      <c r="B287" s="116" t="str">
        <f>Données!B287</f>
        <v>Montagny-près-Yverdon</v>
      </c>
      <c r="C287" s="246">
        <f>Données!C287</f>
        <v>768</v>
      </c>
      <c r="D287" s="247">
        <f>Données!D287</f>
        <v>64.5</v>
      </c>
      <c r="E287" s="248">
        <f>Données!E287</f>
        <v>0.8</v>
      </c>
      <c r="F287" s="249">
        <f>Données!F287</f>
        <v>1274969.68</v>
      </c>
      <c r="G287" s="249">
        <f>Données!G287</f>
        <v>197893.18</v>
      </c>
      <c r="H287" s="249">
        <f>Données!H287</f>
        <v>493849.45</v>
      </c>
      <c r="I287" s="249">
        <f>Données!I287</f>
        <v>40216.35</v>
      </c>
      <c r="J287" s="249">
        <f>Données!J287</f>
        <v>0</v>
      </c>
      <c r="K287" s="249">
        <f>Données!K287</f>
        <v>17815.169999999998</v>
      </c>
      <c r="L287" s="249">
        <f>Données!L287</f>
        <v>-29517.45</v>
      </c>
      <c r="M287" s="249">
        <f>Données!M287</f>
        <v>0</v>
      </c>
      <c r="N287" s="249">
        <f>Données!N287</f>
        <v>50777.458549214964</v>
      </c>
      <c r="O287" s="249">
        <f>Données!O287</f>
        <v>298545.05</v>
      </c>
      <c r="P287" s="249">
        <f>Données!P287</f>
        <v>147874.54999999999</v>
      </c>
      <c r="Q287" s="249">
        <f>Données!Q287</f>
        <v>39244</v>
      </c>
      <c r="R287" s="249">
        <f>Données!R287</f>
        <v>-1256.5999999999999</v>
      </c>
      <c r="S287" s="241"/>
      <c r="T287" s="233">
        <f t="shared" si="24"/>
        <v>2137872.6253496236</v>
      </c>
      <c r="U287" s="250">
        <f t="shared" si="25"/>
        <v>373181.31249999994</v>
      </c>
      <c r="V287" s="250">
        <f t="shared" si="26"/>
        <v>185861.94999999998</v>
      </c>
      <c r="W287" s="251">
        <f t="shared" si="27"/>
        <v>2696915.8878496238</v>
      </c>
      <c r="X287" s="233">
        <f t="shared" si="28"/>
        <v>3511.6092289708645</v>
      </c>
      <c r="Y287" s="252">
        <f t="shared" si="29"/>
        <v>1.0242729608271604</v>
      </c>
    </row>
    <row r="288" spans="1:25" x14ac:dyDescent="0.25">
      <c r="A288" s="108">
        <f>Données!A288</f>
        <v>5923</v>
      </c>
      <c r="B288" s="116" t="str">
        <f>Données!B288</f>
        <v>Oppens</v>
      </c>
      <c r="C288" s="246">
        <f>Données!C288</f>
        <v>201</v>
      </c>
      <c r="D288" s="247">
        <f>Données!D288</f>
        <v>79</v>
      </c>
      <c r="E288" s="248">
        <f>Données!E288</f>
        <v>1</v>
      </c>
      <c r="F288" s="249">
        <f>Données!F288</f>
        <v>345598.48</v>
      </c>
      <c r="G288" s="249">
        <f>Données!G288</f>
        <v>37721.17</v>
      </c>
      <c r="H288" s="249">
        <f>Données!H288</f>
        <v>2776.25</v>
      </c>
      <c r="I288" s="249">
        <f>Données!I288</f>
        <v>1861</v>
      </c>
      <c r="J288" s="249">
        <f>Données!J288</f>
        <v>0</v>
      </c>
      <c r="K288" s="249">
        <f>Données!K288</f>
        <v>0</v>
      </c>
      <c r="L288" s="249">
        <f>Données!L288</f>
        <v>-934.64</v>
      </c>
      <c r="M288" s="249">
        <f>Données!M288</f>
        <v>0</v>
      </c>
      <c r="N288" s="249">
        <f>Données!N288</f>
        <v>440.89655180568963</v>
      </c>
      <c r="O288" s="249">
        <f>Données!O288</f>
        <v>27547.7</v>
      </c>
      <c r="P288" s="249">
        <f>Données!P288</f>
        <v>16118.91</v>
      </c>
      <c r="Q288" s="249">
        <f>Données!Q288</f>
        <v>0</v>
      </c>
      <c r="R288" s="249">
        <f>Données!R288</f>
        <v>0</v>
      </c>
      <c r="S288" s="241"/>
      <c r="T288" s="233">
        <f t="shared" si="24"/>
        <v>330550.95614860224</v>
      </c>
      <c r="U288" s="250">
        <f t="shared" si="25"/>
        <v>27547.7</v>
      </c>
      <c r="V288" s="250">
        <f t="shared" si="26"/>
        <v>16118.91</v>
      </c>
      <c r="W288" s="251">
        <f t="shared" si="27"/>
        <v>374217.56614860223</v>
      </c>
      <c r="X288" s="233">
        <f t="shared" si="28"/>
        <v>1861.7789360626978</v>
      </c>
      <c r="Y288" s="252">
        <f t="shared" si="29"/>
        <v>0.54304727516775808</v>
      </c>
    </row>
    <row r="289" spans="1:25" x14ac:dyDescent="0.25">
      <c r="A289" s="108">
        <f>Données!A289</f>
        <v>5924</v>
      </c>
      <c r="B289" s="116" t="str">
        <f>Données!B289</f>
        <v>Orges</v>
      </c>
      <c r="C289" s="246">
        <f>Données!C289</f>
        <v>416</v>
      </c>
      <c r="D289" s="247">
        <f>Données!D289</f>
        <v>74</v>
      </c>
      <c r="E289" s="248">
        <f>Données!E289</f>
        <v>1</v>
      </c>
      <c r="F289" s="249">
        <f>Données!F289</f>
        <v>859176.46</v>
      </c>
      <c r="G289" s="249">
        <f>Données!G289</f>
        <v>104785.15</v>
      </c>
      <c r="H289" s="249">
        <f>Données!H289</f>
        <v>24092.400000000001</v>
      </c>
      <c r="I289" s="249">
        <f>Données!I289</f>
        <v>3532.5</v>
      </c>
      <c r="J289" s="249">
        <f>Données!J289</f>
        <v>0</v>
      </c>
      <c r="K289" s="249">
        <f>Données!K289</f>
        <v>0</v>
      </c>
      <c r="L289" s="249">
        <f>Données!L289</f>
        <v>-1450.18</v>
      </c>
      <c r="M289" s="249">
        <f>Données!M289</f>
        <v>0</v>
      </c>
      <c r="N289" s="249">
        <f>Données!N289</f>
        <v>2626.49698721807</v>
      </c>
      <c r="O289" s="249">
        <f>Données!O289</f>
        <v>82547.100000000006</v>
      </c>
      <c r="P289" s="249">
        <f>Données!P289</f>
        <v>11877.28</v>
      </c>
      <c r="Q289" s="249">
        <f>Données!Q289</f>
        <v>0</v>
      </c>
      <c r="R289" s="249">
        <f>Données!R289</f>
        <v>0</v>
      </c>
      <c r="S289" s="241"/>
      <c r="T289" s="233">
        <f t="shared" si="24"/>
        <v>904167.48280389886</v>
      </c>
      <c r="U289" s="250">
        <f t="shared" si="25"/>
        <v>82547.100000000006</v>
      </c>
      <c r="V289" s="250">
        <f t="shared" si="26"/>
        <v>11877.28</v>
      </c>
      <c r="W289" s="251">
        <f t="shared" si="27"/>
        <v>998591.86280389887</v>
      </c>
      <c r="X289" s="233">
        <f t="shared" si="28"/>
        <v>2400.4612086632183</v>
      </c>
      <c r="Y289" s="252">
        <f t="shared" si="29"/>
        <v>0.7001711606358858</v>
      </c>
    </row>
    <row r="290" spans="1:25" x14ac:dyDescent="0.25">
      <c r="A290" s="108">
        <f>Données!A290</f>
        <v>5925</v>
      </c>
      <c r="B290" s="116" t="str">
        <f>Données!B290</f>
        <v>Orzens</v>
      </c>
      <c r="C290" s="246">
        <f>Données!C290</f>
        <v>216</v>
      </c>
      <c r="D290" s="247">
        <f>Données!D290</f>
        <v>79</v>
      </c>
      <c r="E290" s="248">
        <f>Données!E290</f>
        <v>1</v>
      </c>
      <c r="F290" s="249">
        <f>Données!F290</f>
        <v>367080.12</v>
      </c>
      <c r="G290" s="249">
        <f>Données!G290</f>
        <v>66601.97</v>
      </c>
      <c r="H290" s="249">
        <f>Données!H290</f>
        <v>588.20000000000005</v>
      </c>
      <c r="I290" s="249">
        <f>Données!I290</f>
        <v>1811.35</v>
      </c>
      <c r="J290" s="249">
        <f>Données!J290</f>
        <v>0</v>
      </c>
      <c r="K290" s="249">
        <f>Données!K290</f>
        <v>2177.34</v>
      </c>
      <c r="L290" s="249">
        <f>Données!L290</f>
        <v>-419.5</v>
      </c>
      <c r="M290" s="249">
        <f>Données!M290</f>
        <v>0</v>
      </c>
      <c r="N290" s="249">
        <f>Données!N290</f>
        <v>228.14239492918057</v>
      </c>
      <c r="O290" s="249">
        <f>Données!O290</f>
        <v>36444.65</v>
      </c>
      <c r="P290" s="249">
        <f>Données!P290</f>
        <v>3697.02</v>
      </c>
      <c r="Q290" s="249">
        <f>Données!Q290</f>
        <v>0</v>
      </c>
      <c r="R290" s="249">
        <f>Données!R290</f>
        <v>0</v>
      </c>
      <c r="S290" s="241"/>
      <c r="T290" s="233">
        <f t="shared" si="24"/>
        <v>373722.42751815752</v>
      </c>
      <c r="U290" s="250">
        <f t="shared" si="25"/>
        <v>36444.65</v>
      </c>
      <c r="V290" s="250">
        <f t="shared" si="26"/>
        <v>3697.02</v>
      </c>
      <c r="W290" s="251">
        <f t="shared" si="27"/>
        <v>413864.09751815756</v>
      </c>
      <c r="X290" s="233">
        <f t="shared" si="28"/>
        <v>1916.0374885099886</v>
      </c>
      <c r="Y290" s="252">
        <f t="shared" si="29"/>
        <v>0.55887351451890299</v>
      </c>
    </row>
    <row r="291" spans="1:25" x14ac:dyDescent="0.25">
      <c r="A291" s="108">
        <f>Données!A291</f>
        <v>5926</v>
      </c>
      <c r="B291" s="116" t="str">
        <f>Données!B291</f>
        <v>Pomy</v>
      </c>
      <c r="C291" s="246">
        <f>Données!C291</f>
        <v>904</v>
      </c>
      <c r="D291" s="247">
        <f>Données!D291</f>
        <v>71</v>
      </c>
      <c r="E291" s="248">
        <f>Données!E291</f>
        <v>1</v>
      </c>
      <c r="F291" s="249">
        <f>Données!F291</f>
        <v>1635533.63</v>
      </c>
      <c r="G291" s="249">
        <f>Données!G291</f>
        <v>233875.03</v>
      </c>
      <c r="H291" s="249">
        <f>Données!H291</f>
        <v>63461.599999999999</v>
      </c>
      <c r="I291" s="249">
        <f>Données!I291</f>
        <v>3411.25</v>
      </c>
      <c r="J291" s="249">
        <f>Données!J291</f>
        <v>0</v>
      </c>
      <c r="K291" s="249">
        <f>Données!K291</f>
        <v>0</v>
      </c>
      <c r="L291" s="249">
        <f>Données!L291</f>
        <v>-40186.879999999997</v>
      </c>
      <c r="M291" s="249">
        <f>Données!M291</f>
        <v>0</v>
      </c>
      <c r="N291" s="249">
        <f>Données!N291</f>
        <v>6358.0805379091298</v>
      </c>
      <c r="O291" s="249">
        <f>Données!O291</f>
        <v>155409.15</v>
      </c>
      <c r="P291" s="249">
        <f>Données!P291</f>
        <v>31796.81</v>
      </c>
      <c r="Q291" s="249">
        <f>Données!Q291</f>
        <v>0</v>
      </c>
      <c r="R291" s="249">
        <f>Données!R291</f>
        <v>-940.1</v>
      </c>
      <c r="S291" s="241"/>
      <c r="T291" s="233">
        <f t="shared" si="24"/>
        <v>1805887.1941869999</v>
      </c>
      <c r="U291" s="250">
        <f t="shared" si="25"/>
        <v>155409.15</v>
      </c>
      <c r="V291" s="250">
        <f t="shared" si="26"/>
        <v>30856.710000000003</v>
      </c>
      <c r="W291" s="251">
        <f t="shared" si="27"/>
        <v>1992153.0541869998</v>
      </c>
      <c r="X291" s="233">
        <f t="shared" si="28"/>
        <v>2203.7091307378319</v>
      </c>
      <c r="Y291" s="252">
        <f t="shared" si="29"/>
        <v>0.64278213461814959</v>
      </c>
    </row>
    <row r="292" spans="1:25" x14ac:dyDescent="0.25">
      <c r="A292" s="108">
        <f>Données!A292</f>
        <v>5928</v>
      </c>
      <c r="B292" s="116" t="str">
        <f>Données!B292</f>
        <v>Rovray</v>
      </c>
      <c r="C292" s="246">
        <f>Données!C292</f>
        <v>198</v>
      </c>
      <c r="D292" s="247">
        <f>Données!D292</f>
        <v>73</v>
      </c>
      <c r="E292" s="248">
        <f>Données!E292</f>
        <v>1</v>
      </c>
      <c r="F292" s="249">
        <f>Données!F292</f>
        <v>278876.7</v>
      </c>
      <c r="G292" s="249">
        <f>Données!G292</f>
        <v>34846.129999999997</v>
      </c>
      <c r="H292" s="249">
        <f>Données!H292</f>
        <v>26826.5</v>
      </c>
      <c r="I292" s="249">
        <f>Données!I292</f>
        <v>934.05</v>
      </c>
      <c r="J292" s="249">
        <f>Données!J292</f>
        <v>0</v>
      </c>
      <c r="K292" s="249">
        <f>Données!K292</f>
        <v>0</v>
      </c>
      <c r="L292" s="249">
        <f>Données!L292</f>
        <v>-8826.93</v>
      </c>
      <c r="M292" s="249">
        <f>Données!M292</f>
        <v>0</v>
      </c>
      <c r="N292" s="249">
        <f>Données!N292</f>
        <v>2639.394203726225</v>
      </c>
      <c r="O292" s="249">
        <f>Données!O292</f>
        <v>29902.05</v>
      </c>
      <c r="P292" s="249">
        <f>Données!P292</f>
        <v>7278.19</v>
      </c>
      <c r="Q292" s="249">
        <f>Données!Q292</f>
        <v>0</v>
      </c>
      <c r="R292" s="249">
        <f>Données!R292</f>
        <v>0</v>
      </c>
      <c r="S292" s="241"/>
      <c r="T292" s="233">
        <f t="shared" si="24"/>
        <v>309556.84189018066</v>
      </c>
      <c r="U292" s="250">
        <f t="shared" si="25"/>
        <v>29902.05</v>
      </c>
      <c r="V292" s="250">
        <f t="shared" si="26"/>
        <v>7278.19</v>
      </c>
      <c r="W292" s="251">
        <f t="shared" si="27"/>
        <v>346737.08189018065</v>
      </c>
      <c r="X292" s="233">
        <f t="shared" si="28"/>
        <v>1751.1973832837407</v>
      </c>
      <c r="Y292" s="252">
        <f t="shared" si="29"/>
        <v>0.51079263432010269</v>
      </c>
    </row>
    <row r="293" spans="1:25" x14ac:dyDescent="0.25">
      <c r="A293" s="108">
        <f>Données!A293</f>
        <v>5929</v>
      </c>
      <c r="B293" s="116" t="str">
        <f>Données!B293</f>
        <v>Suchy</v>
      </c>
      <c r="C293" s="246">
        <f>Données!C293</f>
        <v>672</v>
      </c>
      <c r="D293" s="247">
        <f>Données!D293</f>
        <v>70</v>
      </c>
      <c r="E293" s="248">
        <f>Données!E293</f>
        <v>0.8</v>
      </c>
      <c r="F293" s="249">
        <f>Données!F293</f>
        <v>1255111.75</v>
      </c>
      <c r="G293" s="249">
        <f>Données!G293</f>
        <v>125104.5</v>
      </c>
      <c r="H293" s="249">
        <f>Données!H293</f>
        <v>55565.1</v>
      </c>
      <c r="I293" s="249">
        <f>Données!I293</f>
        <v>1752.35</v>
      </c>
      <c r="J293" s="249">
        <f>Données!J293</f>
        <v>70205.3</v>
      </c>
      <c r="K293" s="249">
        <f>Données!K293</f>
        <v>117.05</v>
      </c>
      <c r="L293" s="249">
        <f>Données!L293</f>
        <v>-21234.03</v>
      </c>
      <c r="M293" s="249">
        <f>Données!M293</f>
        <v>0</v>
      </c>
      <c r="N293" s="249">
        <f>Données!N293</f>
        <v>5449.5802605628387</v>
      </c>
      <c r="O293" s="249">
        <f>Données!O293</f>
        <v>100892.35</v>
      </c>
      <c r="P293" s="249">
        <f>Données!P293</f>
        <v>11235.08</v>
      </c>
      <c r="Q293" s="249">
        <f>Données!Q293</f>
        <v>0</v>
      </c>
      <c r="R293" s="249">
        <f>Données!R293</f>
        <v>-12.7</v>
      </c>
      <c r="S293" s="241"/>
      <c r="T293" s="233">
        <f t="shared" si="24"/>
        <v>1436569.7624851451</v>
      </c>
      <c r="U293" s="250">
        <f t="shared" si="25"/>
        <v>126115.4375</v>
      </c>
      <c r="V293" s="250">
        <f t="shared" si="26"/>
        <v>11222.38</v>
      </c>
      <c r="W293" s="251">
        <f t="shared" si="27"/>
        <v>1573907.579985145</v>
      </c>
      <c r="X293" s="233">
        <f t="shared" si="28"/>
        <v>2342.1243749778941</v>
      </c>
      <c r="Y293" s="252">
        <f t="shared" si="29"/>
        <v>0.68315536033806623</v>
      </c>
    </row>
    <row r="294" spans="1:25" x14ac:dyDescent="0.25">
      <c r="A294" s="108">
        <f>Données!A294</f>
        <v>5931</v>
      </c>
      <c r="B294" s="116" t="str">
        <f>Données!B294</f>
        <v>Treycovagnes</v>
      </c>
      <c r="C294" s="246">
        <f>Données!C294</f>
        <v>518</v>
      </c>
      <c r="D294" s="247">
        <f>Données!D294</f>
        <v>73</v>
      </c>
      <c r="E294" s="248">
        <f>Données!E294</f>
        <v>1</v>
      </c>
      <c r="F294" s="249">
        <f>Données!F294</f>
        <v>795982.22</v>
      </c>
      <c r="G294" s="249">
        <f>Données!G294</f>
        <v>108174.91</v>
      </c>
      <c r="H294" s="249">
        <f>Données!H294</f>
        <v>60815.35</v>
      </c>
      <c r="I294" s="249">
        <f>Données!I294</f>
        <v>3667.8</v>
      </c>
      <c r="J294" s="249">
        <f>Données!J294</f>
        <v>0</v>
      </c>
      <c r="K294" s="249">
        <f>Données!K294</f>
        <v>4679.21</v>
      </c>
      <c r="L294" s="249">
        <f>Données!L294</f>
        <v>-8781.17</v>
      </c>
      <c r="M294" s="249">
        <f>Données!M294</f>
        <v>0</v>
      </c>
      <c r="N294" s="249">
        <f>Données!N294</f>
        <v>6130.8746529880973</v>
      </c>
      <c r="O294" s="249">
        <f>Données!O294</f>
        <v>93208.15</v>
      </c>
      <c r="P294" s="249">
        <f>Données!P294</f>
        <v>29659.48</v>
      </c>
      <c r="Q294" s="249">
        <f>Données!Q294</f>
        <v>1351.4</v>
      </c>
      <c r="R294" s="249">
        <f>Données!R294</f>
        <v>-53.05</v>
      </c>
      <c r="S294" s="241"/>
      <c r="T294" s="233">
        <f t="shared" si="24"/>
        <v>896155.72519381891</v>
      </c>
      <c r="U294" s="250">
        <f t="shared" si="25"/>
        <v>93208.15</v>
      </c>
      <c r="V294" s="250">
        <f t="shared" si="26"/>
        <v>30957.83</v>
      </c>
      <c r="W294" s="251">
        <f t="shared" si="27"/>
        <v>1020321.7051938189</v>
      </c>
      <c r="X294" s="233">
        <f t="shared" si="28"/>
        <v>1969.7330216096889</v>
      </c>
      <c r="Y294" s="252">
        <f t="shared" si="29"/>
        <v>0.5745355312995517</v>
      </c>
    </row>
    <row r="295" spans="1:25" x14ac:dyDescent="0.25">
      <c r="A295" s="108">
        <f>Données!A295</f>
        <v>5932</v>
      </c>
      <c r="B295" s="116" t="str">
        <f>Données!B295</f>
        <v>Ursins</v>
      </c>
      <c r="C295" s="246">
        <f>Données!C295</f>
        <v>227</v>
      </c>
      <c r="D295" s="247">
        <f>Données!D295</f>
        <v>75</v>
      </c>
      <c r="E295" s="248">
        <f>Données!E295</f>
        <v>1</v>
      </c>
      <c r="F295" s="249">
        <f>Données!F295</f>
        <v>616819.49</v>
      </c>
      <c r="G295" s="249">
        <f>Données!G295</f>
        <v>64412.51</v>
      </c>
      <c r="H295" s="249">
        <f>Données!H295</f>
        <v>1933.35</v>
      </c>
      <c r="I295" s="249">
        <f>Données!I295</f>
        <v>1384.95</v>
      </c>
      <c r="J295" s="249">
        <f>Données!J295</f>
        <v>49480.45</v>
      </c>
      <c r="K295" s="249">
        <f>Données!K295</f>
        <v>0</v>
      </c>
      <c r="L295" s="249">
        <f>Données!L295</f>
        <v>-19886.34</v>
      </c>
      <c r="M295" s="249">
        <f>Données!M295</f>
        <v>0</v>
      </c>
      <c r="N295" s="249">
        <f>Données!N295</f>
        <v>315.4945340140859</v>
      </c>
      <c r="O295" s="249">
        <f>Données!O295</f>
        <v>35500.800000000003</v>
      </c>
      <c r="P295" s="249">
        <f>Données!P295</f>
        <v>10538.86</v>
      </c>
      <c r="Q295" s="249">
        <f>Données!Q295</f>
        <v>819.5</v>
      </c>
      <c r="R295" s="249">
        <f>Données!R295</f>
        <v>-550.45000000000005</v>
      </c>
      <c r="S295" s="241"/>
      <c r="T295" s="233">
        <f t="shared" si="24"/>
        <v>642024.63798443775</v>
      </c>
      <c r="U295" s="250">
        <f t="shared" si="25"/>
        <v>35500.800000000003</v>
      </c>
      <c r="V295" s="250">
        <f t="shared" si="26"/>
        <v>10807.91</v>
      </c>
      <c r="W295" s="251">
        <f t="shared" si="27"/>
        <v>688333.34798443783</v>
      </c>
      <c r="X295" s="233">
        <f t="shared" si="28"/>
        <v>3032.3054977288011</v>
      </c>
      <c r="Y295" s="252">
        <f t="shared" si="29"/>
        <v>0.88446872296249013</v>
      </c>
    </row>
    <row r="296" spans="1:25" x14ac:dyDescent="0.25">
      <c r="A296" s="108">
        <f>Données!A296</f>
        <v>5933</v>
      </c>
      <c r="B296" s="116" t="str">
        <f>Données!B296</f>
        <v>Valeyres-sous-Montagny</v>
      </c>
      <c r="C296" s="246">
        <f>Données!C296</f>
        <v>717</v>
      </c>
      <c r="D296" s="247">
        <f>Données!D296</f>
        <v>70.5</v>
      </c>
      <c r="E296" s="248">
        <f>Données!E296</f>
        <v>1</v>
      </c>
      <c r="F296" s="249">
        <f>Données!F296</f>
        <v>1412703.62</v>
      </c>
      <c r="G296" s="249">
        <f>Données!G296</f>
        <v>220961.75</v>
      </c>
      <c r="H296" s="249">
        <f>Données!H296</f>
        <v>46705.35</v>
      </c>
      <c r="I296" s="249">
        <f>Données!I296</f>
        <v>2456.1</v>
      </c>
      <c r="J296" s="249">
        <f>Données!J296</f>
        <v>0</v>
      </c>
      <c r="K296" s="249">
        <f>Données!K296</f>
        <v>3871.66</v>
      </c>
      <c r="L296" s="249">
        <f>Données!L296</f>
        <v>-18311.650000000001</v>
      </c>
      <c r="M296" s="249">
        <f>Données!M296</f>
        <v>0</v>
      </c>
      <c r="N296" s="249">
        <f>Données!N296</f>
        <v>4674.1309583843486</v>
      </c>
      <c r="O296" s="249">
        <f>Données!O296</f>
        <v>135185.75</v>
      </c>
      <c r="P296" s="249">
        <f>Données!P296</f>
        <v>11228.73</v>
      </c>
      <c r="Q296" s="249">
        <f>Données!Q296</f>
        <v>4722.05</v>
      </c>
      <c r="R296" s="249">
        <f>Données!R296</f>
        <v>-33.299999999999997</v>
      </c>
      <c r="S296" s="241"/>
      <c r="T296" s="233">
        <f t="shared" si="24"/>
        <v>1599402.4073417424</v>
      </c>
      <c r="U296" s="250">
        <f t="shared" si="25"/>
        <v>135185.75</v>
      </c>
      <c r="V296" s="250">
        <f t="shared" si="26"/>
        <v>15917.48</v>
      </c>
      <c r="W296" s="251">
        <f t="shared" si="27"/>
        <v>1750505.6373417424</v>
      </c>
      <c r="X296" s="233">
        <f t="shared" si="28"/>
        <v>2441.4304565435737</v>
      </c>
      <c r="Y296" s="252">
        <f t="shared" si="29"/>
        <v>0.71212114996928655</v>
      </c>
    </row>
    <row r="297" spans="1:25" x14ac:dyDescent="0.25">
      <c r="A297" s="108">
        <f>Données!A297</f>
        <v>5934</v>
      </c>
      <c r="B297" s="116" t="str">
        <f>Données!B297</f>
        <v>Valeyres-sous-Ursins</v>
      </c>
      <c r="C297" s="246">
        <f>Données!C297</f>
        <v>225</v>
      </c>
      <c r="D297" s="247">
        <f>Données!D297</f>
        <v>77</v>
      </c>
      <c r="E297" s="248">
        <f>Données!E297</f>
        <v>1</v>
      </c>
      <c r="F297" s="249">
        <f>Données!F297</f>
        <v>446990.99</v>
      </c>
      <c r="G297" s="249">
        <f>Données!G297</f>
        <v>40611.58</v>
      </c>
      <c r="H297" s="249">
        <f>Données!H297</f>
        <v>2247.6</v>
      </c>
      <c r="I297" s="249">
        <f>Données!I297</f>
        <v>896.35</v>
      </c>
      <c r="J297" s="249">
        <f>Données!J297</f>
        <v>0</v>
      </c>
      <c r="K297" s="249">
        <f>Données!K297</f>
        <v>0</v>
      </c>
      <c r="L297" s="249">
        <f>Données!L297</f>
        <v>-8028.37</v>
      </c>
      <c r="M297" s="249">
        <f>Données!M297</f>
        <v>0</v>
      </c>
      <c r="N297" s="249">
        <f>Données!N297</f>
        <v>298.91783148406876</v>
      </c>
      <c r="O297" s="249">
        <f>Données!O297</f>
        <v>34078.699999999997</v>
      </c>
      <c r="P297" s="249">
        <f>Données!P297</f>
        <v>10213.780000000001</v>
      </c>
      <c r="Q297" s="249">
        <f>Données!Q297</f>
        <v>1963.5</v>
      </c>
      <c r="R297" s="249">
        <f>Données!R297</f>
        <v>-108.75</v>
      </c>
      <c r="S297" s="241"/>
      <c r="T297" s="233">
        <f t="shared" si="24"/>
        <v>422772.61559746944</v>
      </c>
      <c r="U297" s="250">
        <f t="shared" si="25"/>
        <v>34078.699999999997</v>
      </c>
      <c r="V297" s="250">
        <f t="shared" si="26"/>
        <v>12068.53</v>
      </c>
      <c r="W297" s="251">
        <f t="shared" si="27"/>
        <v>468919.84559746948</v>
      </c>
      <c r="X297" s="233">
        <f t="shared" si="28"/>
        <v>2084.08820265542</v>
      </c>
      <c r="Y297" s="252">
        <f t="shared" si="29"/>
        <v>0.60789087132693975</v>
      </c>
    </row>
    <row r="298" spans="1:25" x14ac:dyDescent="0.25">
      <c r="A298" s="108">
        <f>Données!A298</f>
        <v>5935</v>
      </c>
      <c r="B298" s="116" t="str">
        <f>Données!B298</f>
        <v>Villars-Epeney</v>
      </c>
      <c r="C298" s="246">
        <f>Données!C298</f>
        <v>109</v>
      </c>
      <c r="D298" s="247">
        <f>Données!D298</f>
        <v>68</v>
      </c>
      <c r="E298" s="248">
        <f>Données!E298</f>
        <v>1</v>
      </c>
      <c r="F298" s="249">
        <f>Données!F298</f>
        <v>294534.14</v>
      </c>
      <c r="G298" s="249">
        <f>Données!G298</f>
        <v>127362.56</v>
      </c>
      <c r="H298" s="249">
        <f>Données!H298</f>
        <v>13743.75</v>
      </c>
      <c r="I298" s="249">
        <f>Données!I298</f>
        <v>1322.65</v>
      </c>
      <c r="J298" s="249">
        <f>Données!J298</f>
        <v>0</v>
      </c>
      <c r="K298" s="249">
        <f>Données!K298</f>
        <v>84.9</v>
      </c>
      <c r="L298" s="249">
        <f>Données!L298</f>
        <v>-17624.89</v>
      </c>
      <c r="M298" s="249">
        <f>Données!M298</f>
        <v>0</v>
      </c>
      <c r="N298" s="249">
        <f>Données!N298</f>
        <v>1432.4704961184414</v>
      </c>
      <c r="O298" s="249">
        <f>Données!O298</f>
        <v>24417.4</v>
      </c>
      <c r="P298" s="249">
        <f>Données!P298</f>
        <v>1265.42</v>
      </c>
      <c r="Q298" s="249">
        <f>Données!Q298</f>
        <v>0</v>
      </c>
      <c r="R298" s="249">
        <f>Données!R298</f>
        <v>-1466.35</v>
      </c>
      <c r="S298" s="241"/>
      <c r="T298" s="233">
        <f t="shared" si="24"/>
        <v>417118.32931376738</v>
      </c>
      <c r="U298" s="250">
        <f t="shared" si="25"/>
        <v>24417.4</v>
      </c>
      <c r="V298" s="250">
        <f t="shared" si="26"/>
        <v>-200.92999999999984</v>
      </c>
      <c r="W298" s="251">
        <f t="shared" si="27"/>
        <v>441334.79931376741</v>
      </c>
      <c r="X298" s="233">
        <f t="shared" si="28"/>
        <v>4048.943112970343</v>
      </c>
      <c r="Y298" s="252">
        <f t="shared" si="29"/>
        <v>1.1810035457043964</v>
      </c>
    </row>
    <row r="299" spans="1:25" x14ac:dyDescent="0.25">
      <c r="A299" s="108">
        <f>Données!A299</f>
        <v>5937</v>
      </c>
      <c r="B299" s="116" t="str">
        <f>Données!B299</f>
        <v>Vugelles-La Mothe</v>
      </c>
      <c r="C299" s="246">
        <f>Données!C299</f>
        <v>142</v>
      </c>
      <c r="D299" s="247">
        <f>Données!D299</f>
        <v>70</v>
      </c>
      <c r="E299" s="248">
        <f>Données!E299</f>
        <v>0.7</v>
      </c>
      <c r="F299" s="249">
        <f>Données!F299</f>
        <v>167043.47</v>
      </c>
      <c r="G299" s="249">
        <f>Données!G299</f>
        <v>35372.769999999997</v>
      </c>
      <c r="H299" s="249">
        <f>Données!H299</f>
        <v>11623.55</v>
      </c>
      <c r="I299" s="249">
        <f>Données!I299</f>
        <v>685</v>
      </c>
      <c r="J299" s="249">
        <f>Données!J299</f>
        <v>0</v>
      </c>
      <c r="K299" s="249">
        <f>Données!K299</f>
        <v>0</v>
      </c>
      <c r="L299" s="249">
        <f>Données!L299</f>
        <v>-5450.04</v>
      </c>
      <c r="M299" s="249">
        <f>Données!M299</f>
        <v>0</v>
      </c>
      <c r="N299" s="249">
        <f>Données!N299</f>
        <v>1170.261955410625</v>
      </c>
      <c r="O299" s="249">
        <f>Données!O299</f>
        <v>14271.39</v>
      </c>
      <c r="P299" s="249">
        <f>Données!P299</f>
        <v>10720.64</v>
      </c>
      <c r="Q299" s="249">
        <f>Données!Q299</f>
        <v>0</v>
      </c>
      <c r="R299" s="249">
        <f>Données!R299</f>
        <v>0</v>
      </c>
      <c r="S299" s="241"/>
      <c r="T299" s="233">
        <f t="shared" si="24"/>
        <v>202616.91247804274</v>
      </c>
      <c r="U299" s="250">
        <f t="shared" si="25"/>
        <v>20387.7</v>
      </c>
      <c r="V299" s="250">
        <f t="shared" si="26"/>
        <v>10720.64</v>
      </c>
      <c r="W299" s="251">
        <f t="shared" si="27"/>
        <v>233725.25247804273</v>
      </c>
      <c r="X299" s="233">
        <f t="shared" si="28"/>
        <v>1645.9524822397375</v>
      </c>
      <c r="Y299" s="252">
        <f t="shared" si="29"/>
        <v>0.48009459835557849</v>
      </c>
    </row>
    <row r="300" spans="1:25" x14ac:dyDescent="0.25">
      <c r="A300" s="108">
        <f>Données!A300</f>
        <v>5938</v>
      </c>
      <c r="B300" s="116" t="str">
        <f>Données!B300</f>
        <v>Yverdon-les-Bains</v>
      </c>
      <c r="C300" s="246">
        <f>Données!C300</f>
        <v>30600</v>
      </c>
      <c r="D300" s="247">
        <f>Données!D300</f>
        <v>75</v>
      </c>
      <c r="E300" s="248">
        <f>Données!E300</f>
        <v>1.5</v>
      </c>
      <c r="F300" s="249">
        <f>Données!F300</f>
        <v>41459093.649999999</v>
      </c>
      <c r="G300" s="249">
        <f>Données!G300</f>
        <v>4780032.42</v>
      </c>
      <c r="H300" s="249">
        <f>Données!H300</f>
        <v>4258131.8499999996</v>
      </c>
      <c r="I300" s="249">
        <f>Données!I300</f>
        <v>782111.35</v>
      </c>
      <c r="J300" s="249">
        <f>Données!J300</f>
        <v>0</v>
      </c>
      <c r="K300" s="249">
        <f>Données!K300</f>
        <v>426917.49</v>
      </c>
      <c r="L300" s="249">
        <f>Données!L300</f>
        <v>-1272176.17</v>
      </c>
      <c r="M300" s="249">
        <f>Données!M300</f>
        <v>0</v>
      </c>
      <c r="N300" s="249">
        <f>Données!N300</f>
        <v>479212.00003063766</v>
      </c>
      <c r="O300" s="249">
        <f>Données!O300</f>
        <v>7566414.3499999996</v>
      </c>
      <c r="P300" s="249">
        <f>Données!P300</f>
        <v>2414086.85</v>
      </c>
      <c r="Q300" s="249">
        <f>Données!Q300</f>
        <v>701691</v>
      </c>
      <c r="R300" s="249">
        <f>Données!R300</f>
        <v>-15576.66</v>
      </c>
      <c r="S300" s="241"/>
      <c r="T300" s="233">
        <f t="shared" si="24"/>
        <v>45751493.256670393</v>
      </c>
      <c r="U300" s="250">
        <f t="shared" si="25"/>
        <v>5044276.2333333334</v>
      </c>
      <c r="V300" s="250">
        <f t="shared" si="26"/>
        <v>3100201.19</v>
      </c>
      <c r="W300" s="251">
        <f t="shared" si="27"/>
        <v>53895970.680003725</v>
      </c>
      <c r="X300" s="233">
        <f t="shared" si="28"/>
        <v>1761.3062313726707</v>
      </c>
      <c r="Y300" s="252">
        <f t="shared" si="29"/>
        <v>0.51374120265087753</v>
      </c>
    </row>
    <row r="301" spans="1:25" x14ac:dyDescent="0.25">
      <c r="A301" s="110">
        <f>Données!A301</f>
        <v>5939</v>
      </c>
      <c r="B301" s="117" t="str">
        <f>Données!B301</f>
        <v>Yvonand</v>
      </c>
      <c r="C301" s="246">
        <f>Données!C301</f>
        <v>3536</v>
      </c>
      <c r="D301" s="253">
        <f>Données!D301</f>
        <v>73</v>
      </c>
      <c r="E301" s="254">
        <f>Données!E301</f>
        <v>1</v>
      </c>
      <c r="F301" s="249">
        <f>Données!F301</f>
        <v>5396034.4400000004</v>
      </c>
      <c r="G301" s="249">
        <f>Données!G301</f>
        <v>738592.4</v>
      </c>
      <c r="H301" s="249">
        <f>Données!H301</f>
        <v>93794.6</v>
      </c>
      <c r="I301" s="249">
        <f>Données!I301</f>
        <v>32324.7</v>
      </c>
      <c r="J301" s="249">
        <f>Données!J301</f>
        <v>0</v>
      </c>
      <c r="K301" s="249">
        <f>Données!K301</f>
        <v>11893.19</v>
      </c>
      <c r="L301" s="249">
        <f>Données!L301</f>
        <v>-115121.56</v>
      </c>
      <c r="M301" s="249">
        <f>Données!M301</f>
        <v>0</v>
      </c>
      <c r="N301" s="249">
        <f>Données!N301</f>
        <v>11991.064636615949</v>
      </c>
      <c r="O301" s="249">
        <f>Données!O301</f>
        <v>628496.4</v>
      </c>
      <c r="P301" s="249">
        <f>Données!P301</f>
        <v>87978.48</v>
      </c>
      <c r="Q301" s="249">
        <f>Données!Q301</f>
        <v>58538.35</v>
      </c>
      <c r="R301" s="249">
        <f>Données!R301</f>
        <v>-657.9</v>
      </c>
      <c r="S301" s="241"/>
      <c r="T301" s="255">
        <f t="shared" si="24"/>
        <v>5695906.1792107224</v>
      </c>
      <c r="U301" s="256">
        <f t="shared" si="25"/>
        <v>628496.4</v>
      </c>
      <c r="V301" s="256">
        <f t="shared" si="26"/>
        <v>145858.93</v>
      </c>
      <c r="W301" s="257">
        <f t="shared" si="27"/>
        <v>6470261.5092107225</v>
      </c>
      <c r="X301" s="255">
        <f t="shared" si="28"/>
        <v>1829.8250874464713</v>
      </c>
      <c r="Y301" s="258">
        <f t="shared" si="29"/>
        <v>0.53372691490046342</v>
      </c>
    </row>
    <row r="302" spans="1:25" x14ac:dyDescent="0.25">
      <c r="A302" s="502" t="s">
        <v>25</v>
      </c>
      <c r="B302" s="503"/>
      <c r="C302" s="259">
        <f>SUM(C8:C301)</f>
        <v>864226</v>
      </c>
      <c r="D302" s="259" t="s">
        <v>26</v>
      </c>
      <c r="E302" s="259" t="s">
        <v>26</v>
      </c>
      <c r="F302" s="259">
        <f t="shared" ref="F302:R302" si="30">SUM(F8:F301)</f>
        <v>1818396738.3077941</v>
      </c>
      <c r="G302" s="259">
        <f t="shared" si="30"/>
        <v>366066026.23490566</v>
      </c>
      <c r="H302" s="259">
        <f t="shared" si="30"/>
        <v>391959776.80882406</v>
      </c>
      <c r="I302" s="259">
        <f t="shared" si="30"/>
        <v>34959768.681667551</v>
      </c>
      <c r="J302" s="259">
        <f t="shared" si="30"/>
        <v>43202435.524155848</v>
      </c>
      <c r="K302" s="259">
        <f t="shared" si="30"/>
        <v>8474998.4657737389</v>
      </c>
      <c r="L302" s="259">
        <f t="shared" si="30"/>
        <v>-34082967.823513672</v>
      </c>
      <c r="M302" s="259">
        <f t="shared" si="30"/>
        <v>0</v>
      </c>
      <c r="N302" s="259">
        <f t="shared" si="30"/>
        <v>40590297.160000011</v>
      </c>
      <c r="O302" s="259">
        <f t="shared" si="30"/>
        <v>251995764.26000011</v>
      </c>
      <c r="P302" s="259">
        <f t="shared" si="30"/>
        <v>82474339.519999996</v>
      </c>
      <c r="Q302" s="259">
        <f t="shared" si="30"/>
        <v>22404856.950000003</v>
      </c>
      <c r="R302" s="259">
        <f t="shared" si="30"/>
        <v>-20160323.930000007</v>
      </c>
      <c r="S302" s="241"/>
      <c r="T302" s="255">
        <f>SUM(T8:T301)</f>
        <v>2669567073.3596082</v>
      </c>
      <c r="U302" s="255">
        <f>SUM(U8:U301)</f>
        <v>208619562.28228956</v>
      </c>
      <c r="V302" s="255">
        <f>SUM(V8:V301)</f>
        <v>84718872.539999887</v>
      </c>
      <c r="W302" s="260">
        <f t="shared" si="27"/>
        <v>2962905508.1818976</v>
      </c>
      <c r="X302" s="255">
        <f t="shared" si="28"/>
        <v>3428.3920041538877</v>
      </c>
      <c r="Y302" s="261">
        <f t="shared" si="29"/>
        <v>1</v>
      </c>
    </row>
  </sheetData>
  <sheetProtection sheet="1" objects="1" scenarios="1"/>
  <mergeCells count="25">
    <mergeCell ref="N6:N7"/>
    <mergeCell ref="O6:O7"/>
    <mergeCell ref="P6:P7"/>
    <mergeCell ref="Q6:Q7"/>
    <mergeCell ref="R6:R7"/>
    <mergeCell ref="W6:Y6"/>
    <mergeCell ref="T6:T7"/>
    <mergeCell ref="U6:U7"/>
    <mergeCell ref="V6:V7"/>
    <mergeCell ref="T2:T3"/>
    <mergeCell ref="U2:U3"/>
    <mergeCell ref="A302:B302"/>
    <mergeCell ref="A6:A7"/>
    <mergeCell ref="B6:B7"/>
    <mergeCell ref="C6:C7"/>
    <mergeCell ref="D6:D7"/>
    <mergeCell ref="J6:J7"/>
    <mergeCell ref="K6:K7"/>
    <mergeCell ref="L6:L7"/>
    <mergeCell ref="M6:M7"/>
    <mergeCell ref="E6:E7"/>
    <mergeCell ref="F6:F7"/>
    <mergeCell ref="G6:G7"/>
    <mergeCell ref="H6:H7"/>
    <mergeCell ref="I6:I7"/>
  </mergeCells>
  <hyperlinks>
    <hyperlink ref="F1" location="Données!A1" display="← Précédent" xr:uid="{45228680-B438-40F6-BA86-EBE35B041B02}"/>
    <hyperlink ref="G1" location="'Table des matières'!A1" display="Table des matières" xr:uid="{F5D218E0-01E9-467F-8B2C-16D0EA3044E8}"/>
    <hyperlink ref="H1" location="Ressources!A1" display="Suivant →" xr:uid="{92F0F4A8-DC11-475F-B0F9-CCB78BA7B6A6}"/>
  </hyperlinks>
  <pageMargins left="0.70866141732283472" right="0.70866141732283472" top="0.74803149606299213" bottom="0.74803149606299213" header="0.31496062992125984" footer="0.31496062992125984"/>
  <pageSetup paperSize="9" scale="3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ABC96-F79D-4BD5-AE0F-0FA12C271223}">
  <sheetPr codeName="Feuil3">
    <tabColor theme="7" tint="0.79998168889431442"/>
    <pageSetUpPr fitToPage="1"/>
  </sheetPr>
  <dimension ref="A1:W303"/>
  <sheetViews>
    <sheetView zoomScale="90" zoomScaleNormal="90" workbookViewId="0">
      <pane ySplit="7" topLeftCell="A8" activePane="bottomLeft" state="frozen"/>
      <selection pane="bottomLeft"/>
    </sheetView>
  </sheetViews>
  <sheetFormatPr baseColWidth="10" defaultRowHeight="15" x14ac:dyDescent="0.25"/>
  <cols>
    <col min="1" max="1" width="7.140625" style="1" customWidth="1"/>
    <col min="2" max="2" width="27.28515625" style="1" customWidth="1"/>
    <col min="3" max="3" width="10.7109375" style="1" bestFit="1" customWidth="1"/>
    <col min="4" max="4" width="15.42578125" style="1" customWidth="1"/>
    <col min="5" max="5" width="4.28515625" style="1" customWidth="1"/>
    <col min="6" max="6" width="11.140625" style="1" customWidth="1"/>
    <col min="7" max="7" width="11" style="1" customWidth="1"/>
    <col min="8" max="8" width="14.28515625" style="1" customWidth="1"/>
    <col min="9" max="9" width="4.28515625" style="1" customWidth="1"/>
    <col min="10" max="10" width="13.85546875" style="1" bestFit="1" customWidth="1"/>
    <col min="11" max="11" width="10" style="1" customWidth="1"/>
    <col min="12" max="12" width="12.28515625" style="1" bestFit="1" customWidth="1"/>
    <col min="13" max="13" width="4.28515625" style="1" customWidth="1"/>
    <col min="14" max="17" width="13.28515625" style="1" customWidth="1"/>
    <col min="18" max="18" width="15.7109375" style="1" customWidth="1"/>
    <col min="19" max="20" width="15.85546875" style="1" customWidth="1"/>
    <col min="21" max="23" width="13" style="1" customWidth="1"/>
    <col min="24" max="16384" width="11.42578125" style="1"/>
  </cols>
  <sheetData>
    <row r="1" spans="1:23" ht="26.25" customHeight="1" x14ac:dyDescent="0.25">
      <c r="A1" s="100" t="s">
        <v>2</v>
      </c>
      <c r="D1" s="517" t="s">
        <v>441</v>
      </c>
      <c r="E1" s="517"/>
      <c r="F1" s="99" t="s">
        <v>442</v>
      </c>
      <c r="G1" s="96" t="s">
        <v>443</v>
      </c>
      <c r="H1" s="77"/>
    </row>
    <row r="2" spans="1:23" ht="15" customHeight="1" x14ac:dyDescent="0.25">
      <c r="A2" s="46" t="str">
        <f>_xlfn.CONCAT(Paramètres!M5," ",Paramètres!N5)</f>
        <v>Décompte prévisionnel 2027</v>
      </c>
      <c r="B2" s="16"/>
      <c r="C2" s="16"/>
      <c r="F2" s="510"/>
      <c r="G2" s="510"/>
      <c r="J2" s="22"/>
    </row>
    <row r="3" spans="1:23" s="4" customFormat="1" ht="15" customHeight="1" x14ac:dyDescent="0.25">
      <c r="A3" s="8"/>
      <c r="F3" s="511" t="s">
        <v>430</v>
      </c>
      <c r="G3" s="512"/>
      <c r="H3" s="513"/>
      <c r="J3" s="511" t="s">
        <v>11</v>
      </c>
      <c r="K3" s="512"/>
      <c r="L3" s="513"/>
      <c r="N3" s="511" t="s">
        <v>20</v>
      </c>
      <c r="O3" s="512"/>
      <c r="P3" s="512"/>
      <c r="Q3" s="512"/>
      <c r="R3" s="512"/>
      <c r="S3" s="512"/>
      <c r="T3" s="513"/>
    </row>
    <row r="4" spans="1:23" ht="15" customHeight="1" x14ac:dyDescent="0.25">
      <c r="D4" s="45"/>
      <c r="E4" s="16"/>
      <c r="F4" s="514"/>
      <c r="G4" s="515"/>
      <c r="H4" s="516"/>
      <c r="J4" s="523"/>
      <c r="K4" s="524"/>
      <c r="L4" s="525"/>
      <c r="M4" s="23"/>
      <c r="N4" s="514"/>
      <c r="O4" s="515"/>
      <c r="P4" s="515"/>
      <c r="Q4" s="515"/>
      <c r="R4" s="515"/>
      <c r="S4" s="515"/>
      <c r="T4" s="516"/>
    </row>
    <row r="5" spans="1:23" x14ac:dyDescent="0.25">
      <c r="F5" s="74" t="s">
        <v>58</v>
      </c>
      <c r="G5" s="75" t="s">
        <v>31</v>
      </c>
      <c r="H5" s="76" t="s">
        <v>440</v>
      </c>
      <c r="J5" s="415" t="s">
        <v>539</v>
      </c>
      <c r="K5" s="76" t="s">
        <v>567</v>
      </c>
      <c r="L5" s="76" t="s">
        <v>21</v>
      </c>
      <c r="N5" s="518" t="s">
        <v>404</v>
      </c>
      <c r="O5" s="519"/>
      <c r="P5" s="519"/>
      <c r="Q5" s="519"/>
      <c r="R5" s="75" t="s">
        <v>21</v>
      </c>
      <c r="S5" s="75" t="s">
        <v>492</v>
      </c>
      <c r="T5" s="76" t="s">
        <v>494</v>
      </c>
    </row>
    <row r="6" spans="1:23" s="4" customFormat="1" ht="15" customHeight="1" x14ac:dyDescent="0.25">
      <c r="A6" s="491" t="s">
        <v>0</v>
      </c>
      <c r="B6" s="520" t="s">
        <v>1</v>
      </c>
      <c r="C6" s="468" t="s">
        <v>29</v>
      </c>
      <c r="D6" s="521" t="s">
        <v>57</v>
      </c>
      <c r="E6" s="5"/>
      <c r="F6" s="25">
        <f>F302</f>
        <v>3428.3920041538854</v>
      </c>
      <c r="G6" s="122">
        <f>Paramètres!C5</f>
        <v>0.8</v>
      </c>
      <c r="H6" s="73" t="str">
        <f>IF(ROUND(H302,5)=0,"OK","ERREUR")</f>
        <v>OK</v>
      </c>
      <c r="J6" s="25">
        <f>F6*K6</f>
        <v>3085.552803738497</v>
      </c>
      <c r="K6" s="414">
        <f>Paramètres!C6</f>
        <v>0.9</v>
      </c>
      <c r="L6" s="25">
        <f>L302</f>
        <v>-2657972</v>
      </c>
      <c r="M6" s="24"/>
      <c r="N6" s="123">
        <f>Paramètres!C9</f>
        <v>0.5</v>
      </c>
      <c r="O6" s="123">
        <f>Paramètres!C9</f>
        <v>0.5</v>
      </c>
      <c r="P6" s="123">
        <f>Paramètres!C9</f>
        <v>0.5</v>
      </c>
      <c r="Q6" s="123">
        <f>Paramètres!C11</f>
        <v>0.3</v>
      </c>
      <c r="R6" s="25">
        <f>R302</f>
        <v>170992115.79500002</v>
      </c>
      <c r="S6" s="124">
        <f>Paramètres!C12</f>
        <v>450000</v>
      </c>
      <c r="T6" s="25">
        <f>ROUND(SUM(T8:T301),5)</f>
        <v>450000</v>
      </c>
      <c r="U6" s="1"/>
      <c r="V6" s="1"/>
      <c r="W6" s="1"/>
    </row>
    <row r="7" spans="1:23" s="4" customFormat="1" ht="37.5" customHeight="1" x14ac:dyDescent="0.25">
      <c r="A7" s="492"/>
      <c r="B7" s="520"/>
      <c r="C7" s="468"/>
      <c r="D7" s="522"/>
      <c r="E7" s="5"/>
      <c r="F7" s="188" t="s">
        <v>402</v>
      </c>
      <c r="G7" s="188" t="s">
        <v>59</v>
      </c>
      <c r="H7" s="188" t="s">
        <v>10</v>
      </c>
      <c r="J7" s="188" t="s">
        <v>495</v>
      </c>
      <c r="K7" s="188" t="s">
        <v>538</v>
      </c>
      <c r="L7" s="188" t="s">
        <v>493</v>
      </c>
      <c r="M7" s="23"/>
      <c r="N7" s="184" t="s">
        <v>38</v>
      </c>
      <c r="O7" s="184" t="s">
        <v>39</v>
      </c>
      <c r="P7" s="184" t="s">
        <v>40</v>
      </c>
      <c r="Q7" s="184" t="s">
        <v>41</v>
      </c>
      <c r="R7" s="189" t="s">
        <v>20</v>
      </c>
      <c r="S7" s="190" t="s">
        <v>37</v>
      </c>
      <c r="T7" s="184" t="s">
        <v>10</v>
      </c>
    </row>
    <row r="8" spans="1:23" x14ac:dyDescent="0.25">
      <c r="A8" s="107">
        <f>Données!A8</f>
        <v>5401</v>
      </c>
      <c r="B8" s="119" t="str">
        <f>Données!B8</f>
        <v>Aigle</v>
      </c>
      <c r="C8" s="240">
        <f>Données!C8</f>
        <v>12081</v>
      </c>
      <c r="D8" s="237">
        <f>RFS!W8</f>
        <v>19677720.165964559</v>
      </c>
      <c r="E8" s="262"/>
      <c r="F8" s="263">
        <f t="shared" ref="F8:F69" si="0">D8/C8</f>
        <v>1628.8155091436602</v>
      </c>
      <c r="G8" s="264">
        <f t="shared" ref="G8:G71" si="1">F8-$F$302</f>
        <v>-1799.5764950102252</v>
      </c>
      <c r="H8" s="265">
        <f t="shared" ref="H8:H69" si="2">G8*$G$6*C8</f>
        <v>-17392546.908974826</v>
      </c>
      <c r="I8" s="241"/>
      <c r="J8" s="242">
        <f>(D8-H8)/C8</f>
        <v>3068.4767051518406</v>
      </c>
      <c r="K8" s="264">
        <f t="shared" ref="K8:K69" si="3">IF(J8&lt;$J$6,J8-($J$6),0)</f>
        <v>-17.076098586656371</v>
      </c>
      <c r="L8" s="265">
        <f>ROUND(K8*C8,0)</f>
        <v>-206296</v>
      </c>
      <c r="M8" s="262"/>
      <c r="N8" s="267">
        <f>Données!S8</f>
        <v>1326429.1499999999</v>
      </c>
      <c r="O8" s="267">
        <f>Données!T8</f>
        <v>509055.1</v>
      </c>
      <c r="P8" s="267">
        <f>Données!U8</f>
        <v>691254.7</v>
      </c>
      <c r="Q8" s="237">
        <f>Données!V8</f>
        <v>1797994.6</v>
      </c>
      <c r="R8" s="242">
        <f t="shared" ref="R8:R69" si="4">SUMPRODUCT($N$6:$Q$6,N8:Q8)</f>
        <v>1802767.855</v>
      </c>
      <c r="S8" s="243">
        <f t="shared" ref="S8:S71" si="5">-($R$302-$S$6)/$C$302*C8</f>
        <v>-2384005.226548837</v>
      </c>
      <c r="T8" s="244">
        <f>R8+S8</f>
        <v>-581237.37154883705</v>
      </c>
    </row>
    <row r="9" spans="1:23" x14ac:dyDescent="0.25">
      <c r="A9" s="108">
        <f>Données!A9</f>
        <v>5402</v>
      </c>
      <c r="B9" s="120" t="str">
        <f>Données!B9</f>
        <v>Bex</v>
      </c>
      <c r="C9" s="249">
        <f>Données!C9</f>
        <v>8923</v>
      </c>
      <c r="D9" s="246">
        <f>RFS!W9</f>
        <v>13832114.23445088</v>
      </c>
      <c r="E9" s="262"/>
      <c r="F9" s="268">
        <f t="shared" si="0"/>
        <v>1550.1640966548111</v>
      </c>
      <c r="G9" s="262">
        <f t="shared" si="1"/>
        <v>-1878.2279074990743</v>
      </c>
      <c r="H9" s="269">
        <f t="shared" si="2"/>
        <v>-13407542.094891392</v>
      </c>
      <c r="I9" s="241"/>
      <c r="J9" s="233">
        <f t="shared" ref="J9:J70" si="6">(D9-H9)/C9</f>
        <v>3052.7464226540706</v>
      </c>
      <c r="K9" s="262">
        <f t="shared" si="3"/>
        <v>-32.806381084426448</v>
      </c>
      <c r="L9" s="269">
        <f t="shared" ref="L9:L70" si="7">ROUND(K9*C9,0)</f>
        <v>-292731</v>
      </c>
      <c r="M9" s="262"/>
      <c r="N9" s="271">
        <f>Données!S9</f>
        <v>1044377.5</v>
      </c>
      <c r="O9" s="271">
        <f>Données!T9</f>
        <v>420008.2</v>
      </c>
      <c r="P9" s="271">
        <f>Données!U9</f>
        <v>757869.4</v>
      </c>
      <c r="Q9" s="246">
        <f>Données!V9</f>
        <v>535758.75</v>
      </c>
      <c r="R9" s="233">
        <f t="shared" si="4"/>
        <v>1271855.175</v>
      </c>
      <c r="S9" s="250">
        <f t="shared" si="5"/>
        <v>-1760821.0112155676</v>
      </c>
      <c r="T9" s="251">
        <f t="shared" ref="T9:T70" si="8">R9+S9</f>
        <v>-488965.83621556754</v>
      </c>
    </row>
    <row r="10" spans="1:23" x14ac:dyDescent="0.25">
      <c r="A10" s="108">
        <f>Données!A10</f>
        <v>5403</v>
      </c>
      <c r="B10" s="120" t="str">
        <f>Données!B10</f>
        <v>Chessel</v>
      </c>
      <c r="C10" s="249">
        <f>Données!C10</f>
        <v>525</v>
      </c>
      <c r="D10" s="246">
        <f>RFS!W10</f>
        <v>964702.50495797314</v>
      </c>
      <c r="E10" s="262"/>
      <c r="F10" s="268">
        <f t="shared" si="0"/>
        <v>1837.5285808723297</v>
      </c>
      <c r="G10" s="262">
        <f t="shared" si="1"/>
        <v>-1590.8634232815557</v>
      </c>
      <c r="H10" s="269">
        <f t="shared" si="2"/>
        <v>-668162.63777825341</v>
      </c>
      <c r="I10" s="241"/>
      <c r="J10" s="233">
        <f t="shared" si="6"/>
        <v>3110.2193194975744</v>
      </c>
      <c r="K10" s="262">
        <f t="shared" si="3"/>
        <v>0</v>
      </c>
      <c r="L10" s="269">
        <f t="shared" si="7"/>
        <v>0</v>
      </c>
      <c r="M10" s="262"/>
      <c r="N10" s="271">
        <f>Données!S10</f>
        <v>25890.05</v>
      </c>
      <c r="O10" s="271">
        <f>Données!T10</f>
        <v>20047.400000000001</v>
      </c>
      <c r="P10" s="271">
        <f>Données!U10</f>
        <v>15370.05</v>
      </c>
      <c r="Q10" s="246">
        <f>Données!V10</f>
        <v>0</v>
      </c>
      <c r="R10" s="233">
        <f t="shared" si="4"/>
        <v>30653.75</v>
      </c>
      <c r="S10" s="250">
        <f t="shared" si="5"/>
        <v>-103600.92243507486</v>
      </c>
      <c r="T10" s="251">
        <f t="shared" si="8"/>
        <v>-72947.172435074855</v>
      </c>
    </row>
    <row r="11" spans="1:23" x14ac:dyDescent="0.25">
      <c r="A11" s="108">
        <f>Données!A11</f>
        <v>5404</v>
      </c>
      <c r="B11" s="120" t="str">
        <f>Données!B11</f>
        <v>Corbeyrier</v>
      </c>
      <c r="C11" s="249">
        <f>Données!C11</f>
        <v>456</v>
      </c>
      <c r="D11" s="246">
        <f>RFS!W11</f>
        <v>824676.5268620475</v>
      </c>
      <c r="E11" s="262"/>
      <c r="F11" s="268">
        <f t="shared" si="0"/>
        <v>1808.5011553992269</v>
      </c>
      <c r="G11" s="262">
        <f t="shared" si="1"/>
        <v>-1619.8908487546585</v>
      </c>
      <c r="H11" s="269">
        <f t="shared" si="2"/>
        <v>-590936.18162569951</v>
      </c>
      <c r="I11" s="241"/>
      <c r="J11" s="233">
        <f t="shared" si="6"/>
        <v>3104.4138344029539</v>
      </c>
      <c r="K11" s="262">
        <f t="shared" si="3"/>
        <v>0</v>
      </c>
      <c r="L11" s="269">
        <f t="shared" si="7"/>
        <v>0</v>
      </c>
      <c r="M11" s="262"/>
      <c r="N11" s="271">
        <f>Données!S11</f>
        <v>51978.8</v>
      </c>
      <c r="O11" s="271">
        <f>Données!T11</f>
        <v>60555</v>
      </c>
      <c r="P11" s="271">
        <f>Données!U11</f>
        <v>60280.65</v>
      </c>
      <c r="Q11" s="246">
        <f>Données!V11</f>
        <v>18780.2</v>
      </c>
      <c r="R11" s="233">
        <f t="shared" si="4"/>
        <v>92041.285000000003</v>
      </c>
      <c r="S11" s="250">
        <f t="shared" si="5"/>
        <v>-89984.801200750735</v>
      </c>
      <c r="T11" s="251">
        <f t="shared" si="8"/>
        <v>2056.4837992492685</v>
      </c>
    </row>
    <row r="12" spans="1:23" x14ac:dyDescent="0.25">
      <c r="A12" s="108">
        <f>Données!A12</f>
        <v>5405</v>
      </c>
      <c r="B12" s="120" t="str">
        <f>Données!B12</f>
        <v>Gryon</v>
      </c>
      <c r="C12" s="249">
        <f>Données!C12</f>
        <v>1546</v>
      </c>
      <c r="D12" s="246">
        <f>RFS!W12</f>
        <v>5725193.0564682297</v>
      </c>
      <c r="E12" s="262"/>
      <c r="F12" s="268">
        <f t="shared" si="0"/>
        <v>3703.2296613636672</v>
      </c>
      <c r="G12" s="262">
        <f t="shared" si="1"/>
        <v>274.83765720978181</v>
      </c>
      <c r="H12" s="269">
        <f t="shared" si="2"/>
        <v>339919.2144370582</v>
      </c>
      <c r="I12" s="241"/>
      <c r="J12" s="233">
        <f t="shared" si="6"/>
        <v>3483.3595355958419</v>
      </c>
      <c r="K12" s="262">
        <f t="shared" si="3"/>
        <v>0</v>
      </c>
      <c r="L12" s="269">
        <f t="shared" si="7"/>
        <v>0</v>
      </c>
      <c r="M12" s="262"/>
      <c r="N12" s="271">
        <f>Données!S12</f>
        <v>472881.95</v>
      </c>
      <c r="O12" s="271">
        <f>Données!T12</f>
        <v>151360.20000000001</v>
      </c>
      <c r="P12" s="271">
        <f>Données!U12</f>
        <v>322034.7</v>
      </c>
      <c r="Q12" s="246">
        <f>Données!V12</f>
        <v>6978.8</v>
      </c>
      <c r="R12" s="233">
        <f t="shared" si="4"/>
        <v>475232.06500000006</v>
      </c>
      <c r="S12" s="250">
        <f t="shared" si="5"/>
        <v>-305080.04968500137</v>
      </c>
      <c r="T12" s="251">
        <f t="shared" si="8"/>
        <v>170152.01531499869</v>
      </c>
    </row>
    <row r="13" spans="1:23" x14ac:dyDescent="0.25">
      <c r="A13" s="108">
        <f>Données!A13</f>
        <v>5406</v>
      </c>
      <c r="B13" s="120" t="str">
        <f>Données!B13</f>
        <v>Lavey-Morcles</v>
      </c>
      <c r="C13" s="249">
        <f>Données!C13</f>
        <v>1024</v>
      </c>
      <c r="D13" s="246">
        <f>RFS!W13</f>
        <v>1605137.3593623252</v>
      </c>
      <c r="E13" s="262"/>
      <c r="F13" s="268">
        <f t="shared" si="0"/>
        <v>1567.5169525022707</v>
      </c>
      <c r="G13" s="262">
        <f t="shared" si="1"/>
        <v>-1860.8750516516147</v>
      </c>
      <c r="H13" s="269">
        <f t="shared" si="2"/>
        <v>-1524428.8423130028</v>
      </c>
      <c r="I13" s="241"/>
      <c r="J13" s="233">
        <f t="shared" si="6"/>
        <v>3056.2169938235625</v>
      </c>
      <c r="K13" s="262">
        <f t="shared" si="3"/>
        <v>-29.335809914934543</v>
      </c>
      <c r="L13" s="269">
        <f t="shared" si="7"/>
        <v>-30040</v>
      </c>
      <c r="M13" s="262"/>
      <c r="N13" s="271">
        <f>Données!S13</f>
        <v>75270.95</v>
      </c>
      <c r="O13" s="271">
        <f>Données!T13</f>
        <v>21235.3</v>
      </c>
      <c r="P13" s="271">
        <f>Données!U13</f>
        <v>96668.4</v>
      </c>
      <c r="Q13" s="246">
        <f>Données!V13</f>
        <v>58337.1</v>
      </c>
      <c r="R13" s="233">
        <f t="shared" si="4"/>
        <v>114088.45499999999</v>
      </c>
      <c r="S13" s="250">
        <f t="shared" si="5"/>
        <v>-202071.1325209841</v>
      </c>
      <c r="T13" s="251">
        <f t="shared" si="8"/>
        <v>-87982.677520984114</v>
      </c>
    </row>
    <row r="14" spans="1:23" x14ac:dyDescent="0.25">
      <c r="A14" s="108">
        <f>Données!A14</f>
        <v>5407</v>
      </c>
      <c r="B14" s="120" t="str">
        <f>Données!B14</f>
        <v>Leysin</v>
      </c>
      <c r="C14" s="249">
        <f>Données!C14</f>
        <v>3722</v>
      </c>
      <c r="D14" s="246">
        <f>RFS!W14</f>
        <v>6679312.991040281</v>
      </c>
      <c r="E14" s="262"/>
      <c r="F14" s="268">
        <f t="shared" si="0"/>
        <v>1794.5494333799788</v>
      </c>
      <c r="G14" s="262">
        <f t="shared" si="1"/>
        <v>-1633.8425707739066</v>
      </c>
      <c r="H14" s="269">
        <f t="shared" si="2"/>
        <v>-4864929.638736384</v>
      </c>
      <c r="I14" s="241"/>
      <c r="J14" s="233">
        <f t="shared" si="6"/>
        <v>3101.6234899991036</v>
      </c>
      <c r="K14" s="262">
        <f t="shared" si="3"/>
        <v>0</v>
      </c>
      <c r="L14" s="269">
        <f t="shared" si="7"/>
        <v>0</v>
      </c>
      <c r="M14" s="262"/>
      <c r="N14" s="271">
        <f>Données!S14</f>
        <v>531151.80000000005</v>
      </c>
      <c r="O14" s="271">
        <f>Données!T14</f>
        <v>7249.1</v>
      </c>
      <c r="P14" s="271">
        <f>Données!U14</f>
        <v>497571.2</v>
      </c>
      <c r="Q14" s="246">
        <f>Données!V14</f>
        <v>122107.85</v>
      </c>
      <c r="R14" s="233">
        <f t="shared" si="4"/>
        <v>554618.40500000003</v>
      </c>
      <c r="S14" s="250">
        <f t="shared" si="5"/>
        <v>-734481.20629209257</v>
      </c>
      <c r="T14" s="251">
        <f t="shared" si="8"/>
        <v>-179862.80129209254</v>
      </c>
    </row>
    <row r="15" spans="1:23" x14ac:dyDescent="0.25">
      <c r="A15" s="108">
        <f>Données!A15</f>
        <v>5408</v>
      </c>
      <c r="B15" s="120" t="str">
        <f>Données!B15</f>
        <v>Noville</v>
      </c>
      <c r="C15" s="249">
        <f>Données!C15</f>
        <v>1214</v>
      </c>
      <c r="D15" s="246">
        <f>RFS!W15</f>
        <v>3124934.230034471</v>
      </c>
      <c r="E15" s="262"/>
      <c r="F15" s="268">
        <f t="shared" si="0"/>
        <v>2574.0809143611787</v>
      </c>
      <c r="G15" s="262">
        <f t="shared" si="1"/>
        <v>-854.31108979270675</v>
      </c>
      <c r="H15" s="269">
        <f t="shared" si="2"/>
        <v>-829706.93040667684</v>
      </c>
      <c r="I15" s="241"/>
      <c r="J15" s="233">
        <f t="shared" si="6"/>
        <v>3257.5297861953445</v>
      </c>
      <c r="K15" s="262">
        <f t="shared" si="3"/>
        <v>0</v>
      </c>
      <c r="L15" s="269">
        <f t="shared" si="7"/>
        <v>0</v>
      </c>
      <c r="M15" s="262"/>
      <c r="N15" s="271">
        <f>Données!S15</f>
        <v>158546.95000000001</v>
      </c>
      <c r="O15" s="271">
        <f>Données!T15</f>
        <v>0</v>
      </c>
      <c r="P15" s="271">
        <f>Données!U15</f>
        <v>96184.85</v>
      </c>
      <c r="Q15" s="246">
        <f>Données!V15</f>
        <v>248277.7</v>
      </c>
      <c r="R15" s="233">
        <f t="shared" si="4"/>
        <v>201849.21000000002</v>
      </c>
      <c r="S15" s="250">
        <f t="shared" si="5"/>
        <v>-239564.79968796356</v>
      </c>
      <c r="T15" s="251">
        <f t="shared" si="8"/>
        <v>-37715.58968796354</v>
      </c>
    </row>
    <row r="16" spans="1:23" x14ac:dyDescent="0.25">
      <c r="A16" s="108">
        <f>Données!A16</f>
        <v>5409</v>
      </c>
      <c r="B16" s="120" t="str">
        <f>Données!B16</f>
        <v>Ollon</v>
      </c>
      <c r="C16" s="249">
        <f>Données!C16</f>
        <v>8302</v>
      </c>
      <c r="D16" s="246">
        <f>RFS!W16</f>
        <v>28382190.72617032</v>
      </c>
      <c r="E16" s="262"/>
      <c r="F16" s="268">
        <f t="shared" si="0"/>
        <v>3418.7172640532785</v>
      </c>
      <c r="G16" s="262">
        <f t="shared" si="1"/>
        <v>-9.6747401006068685</v>
      </c>
      <c r="H16" s="269">
        <f t="shared" si="2"/>
        <v>-64255.753852190581</v>
      </c>
      <c r="I16" s="241"/>
      <c r="J16" s="233">
        <f t="shared" si="6"/>
        <v>3426.4570561337646</v>
      </c>
      <c r="K16" s="262">
        <f t="shared" si="3"/>
        <v>0</v>
      </c>
      <c r="L16" s="269">
        <f t="shared" si="7"/>
        <v>0</v>
      </c>
      <c r="M16" s="262"/>
      <c r="N16" s="271">
        <f>Données!S16</f>
        <v>2213707.5499999998</v>
      </c>
      <c r="O16" s="271">
        <f>Données!T16</f>
        <v>1974449.4</v>
      </c>
      <c r="P16" s="271">
        <f>Données!U16</f>
        <v>1458742.9</v>
      </c>
      <c r="Q16" s="246">
        <f>Données!V16</f>
        <v>153445.25</v>
      </c>
      <c r="R16" s="233">
        <f t="shared" si="4"/>
        <v>2869483.5</v>
      </c>
      <c r="S16" s="250">
        <f t="shared" si="5"/>
        <v>-1638275.9201066503</v>
      </c>
      <c r="T16" s="251">
        <f t="shared" si="8"/>
        <v>1231207.5798933497</v>
      </c>
    </row>
    <row r="17" spans="1:20" x14ac:dyDescent="0.25">
      <c r="A17" s="108">
        <f>Données!A17</f>
        <v>5410</v>
      </c>
      <c r="B17" s="120" t="str">
        <f>Données!B17</f>
        <v>Ormont-Dessous</v>
      </c>
      <c r="C17" s="249">
        <f>Données!C17</f>
        <v>1261</v>
      </c>
      <c r="D17" s="246">
        <f>RFS!W17</f>
        <v>2787440.1889308458</v>
      </c>
      <c r="E17" s="262"/>
      <c r="F17" s="268">
        <f t="shared" si="0"/>
        <v>2210.4997533155001</v>
      </c>
      <c r="G17" s="262">
        <f t="shared" si="1"/>
        <v>-1217.8922508383853</v>
      </c>
      <c r="H17" s="269">
        <f t="shared" si="2"/>
        <v>-1228609.7026457631</v>
      </c>
      <c r="I17" s="241"/>
      <c r="J17" s="233">
        <f t="shared" si="6"/>
        <v>3184.8135539862083</v>
      </c>
      <c r="K17" s="262">
        <f t="shared" si="3"/>
        <v>0</v>
      </c>
      <c r="L17" s="269">
        <f t="shared" si="7"/>
        <v>0</v>
      </c>
      <c r="M17" s="262"/>
      <c r="N17" s="271">
        <f>Données!S17</f>
        <v>202211.20000000001</v>
      </c>
      <c r="O17" s="271">
        <f>Données!T17</f>
        <v>105252.2</v>
      </c>
      <c r="P17" s="271">
        <f>Données!U17</f>
        <v>266303.3</v>
      </c>
      <c r="Q17" s="246">
        <f>Données!V17</f>
        <v>21318.35</v>
      </c>
      <c r="R17" s="233">
        <f t="shared" si="4"/>
        <v>293278.85499999998</v>
      </c>
      <c r="S17" s="250">
        <f t="shared" si="5"/>
        <v>-248839.54893453218</v>
      </c>
      <c r="T17" s="251">
        <f t="shared" si="8"/>
        <v>44439.306065467797</v>
      </c>
    </row>
    <row r="18" spans="1:20" x14ac:dyDescent="0.25">
      <c r="A18" s="108">
        <f>Données!A18</f>
        <v>5411</v>
      </c>
      <c r="B18" s="120" t="str">
        <f>Données!B18</f>
        <v>Ormont-Dessus</v>
      </c>
      <c r="C18" s="249">
        <f>Données!C18</f>
        <v>1440</v>
      </c>
      <c r="D18" s="246">
        <f>RFS!W18</f>
        <v>5748336.2865789114</v>
      </c>
      <c r="E18" s="262"/>
      <c r="F18" s="268">
        <f t="shared" si="0"/>
        <v>3991.9001990131328</v>
      </c>
      <c r="G18" s="262">
        <f t="shared" si="1"/>
        <v>563.5081948592474</v>
      </c>
      <c r="H18" s="269">
        <f t="shared" si="2"/>
        <v>649161.44047785306</v>
      </c>
      <c r="I18" s="241"/>
      <c r="J18" s="233">
        <f t="shared" si="6"/>
        <v>3541.0936431257351</v>
      </c>
      <c r="K18" s="262">
        <f t="shared" si="3"/>
        <v>0</v>
      </c>
      <c r="L18" s="269">
        <f t="shared" si="7"/>
        <v>0</v>
      </c>
      <c r="M18" s="262"/>
      <c r="N18" s="271">
        <f>Données!S18</f>
        <v>491008.4</v>
      </c>
      <c r="O18" s="271">
        <f>Données!T18</f>
        <v>82762.8</v>
      </c>
      <c r="P18" s="271">
        <f>Données!U18</f>
        <v>567704.4</v>
      </c>
      <c r="Q18" s="246">
        <f>Données!V18</f>
        <v>11496.4</v>
      </c>
      <c r="R18" s="233">
        <f t="shared" si="4"/>
        <v>574186.72000000009</v>
      </c>
      <c r="S18" s="250">
        <f t="shared" si="5"/>
        <v>-284162.53010763391</v>
      </c>
      <c r="T18" s="251">
        <f t="shared" si="8"/>
        <v>290024.18989236618</v>
      </c>
    </row>
    <row r="19" spans="1:20" x14ac:dyDescent="0.25">
      <c r="A19" s="108">
        <f>Données!A19</f>
        <v>5412</v>
      </c>
      <c r="B19" s="120" t="str">
        <f>Données!B19</f>
        <v>Rennaz</v>
      </c>
      <c r="C19" s="249">
        <f>Données!C19</f>
        <v>935</v>
      </c>
      <c r="D19" s="246">
        <f>RFS!W19</f>
        <v>1962295.0876731274</v>
      </c>
      <c r="E19" s="262"/>
      <c r="F19" s="268">
        <f t="shared" si="0"/>
        <v>2098.711323714575</v>
      </c>
      <c r="G19" s="262">
        <f t="shared" si="1"/>
        <v>-1329.6806804393104</v>
      </c>
      <c r="H19" s="269">
        <f t="shared" si="2"/>
        <v>-994601.14896860428</v>
      </c>
      <c r="I19" s="241"/>
      <c r="J19" s="233">
        <f t="shared" si="6"/>
        <v>3162.455868066023</v>
      </c>
      <c r="K19" s="262">
        <f t="shared" si="3"/>
        <v>0</v>
      </c>
      <c r="L19" s="269">
        <f t="shared" si="7"/>
        <v>0</v>
      </c>
      <c r="M19" s="262"/>
      <c r="N19" s="271">
        <f>Données!S19</f>
        <v>235507.65</v>
      </c>
      <c r="O19" s="271">
        <f>Données!T19</f>
        <v>45500</v>
      </c>
      <c r="P19" s="271">
        <f>Données!U19</f>
        <v>81913.55</v>
      </c>
      <c r="Q19" s="246">
        <f>Données!V19</f>
        <v>1339075.05</v>
      </c>
      <c r="R19" s="233">
        <f t="shared" si="4"/>
        <v>583183.11499999999</v>
      </c>
      <c r="S19" s="250">
        <f t="shared" si="5"/>
        <v>-184508.30947960951</v>
      </c>
      <c r="T19" s="251">
        <f t="shared" si="8"/>
        <v>398674.80552039051</v>
      </c>
    </row>
    <row r="20" spans="1:20" x14ac:dyDescent="0.25">
      <c r="A20" s="108">
        <f>Données!A20</f>
        <v>5413</v>
      </c>
      <c r="B20" s="120" t="str">
        <f>Données!B20</f>
        <v>Roche</v>
      </c>
      <c r="C20" s="249">
        <f>Données!C20</f>
        <v>2035</v>
      </c>
      <c r="D20" s="246">
        <f>RFS!W20</f>
        <v>3091095.2186667444</v>
      </c>
      <c r="E20" s="262"/>
      <c r="F20" s="268">
        <f t="shared" si="0"/>
        <v>1518.9657094185477</v>
      </c>
      <c r="G20" s="262">
        <f t="shared" si="1"/>
        <v>-1909.4262947353377</v>
      </c>
      <c r="H20" s="269">
        <f t="shared" si="2"/>
        <v>-3108546.0078291297</v>
      </c>
      <c r="I20" s="241"/>
      <c r="J20" s="233">
        <f t="shared" si="6"/>
        <v>3046.5067452068179</v>
      </c>
      <c r="K20" s="262">
        <f t="shared" si="3"/>
        <v>-39.046058531679137</v>
      </c>
      <c r="L20" s="269">
        <f t="shared" si="7"/>
        <v>-79459</v>
      </c>
      <c r="M20" s="262"/>
      <c r="N20" s="271">
        <f>Données!S20</f>
        <v>419346.3</v>
      </c>
      <c r="O20" s="271">
        <f>Données!T20</f>
        <v>8179</v>
      </c>
      <c r="P20" s="271">
        <f>Données!U20</f>
        <v>164111.29999999999</v>
      </c>
      <c r="Q20" s="246">
        <f>Données!V20</f>
        <v>431854.25</v>
      </c>
      <c r="R20" s="233">
        <f t="shared" si="4"/>
        <v>425374.57499999995</v>
      </c>
      <c r="S20" s="250">
        <f t="shared" si="5"/>
        <v>-401576.90886738541</v>
      </c>
      <c r="T20" s="251">
        <f t="shared" si="8"/>
        <v>23797.66613261454</v>
      </c>
    </row>
    <row r="21" spans="1:20" x14ac:dyDescent="0.25">
      <c r="A21" s="108">
        <f>Données!A21</f>
        <v>5414</v>
      </c>
      <c r="B21" s="120" t="str">
        <f>Données!B21</f>
        <v>Villeneuve</v>
      </c>
      <c r="C21" s="249">
        <f>Données!C21</f>
        <v>6073</v>
      </c>
      <c r="D21" s="246">
        <f>RFS!W21</f>
        <v>11494724.87833981</v>
      </c>
      <c r="E21" s="262"/>
      <c r="F21" s="268">
        <f t="shared" si="0"/>
        <v>1892.7589129490877</v>
      </c>
      <c r="G21" s="262">
        <f t="shared" si="1"/>
        <v>-1535.6330912047977</v>
      </c>
      <c r="H21" s="269">
        <f t="shared" si="2"/>
        <v>-7460719.8103093896</v>
      </c>
      <c r="I21" s="241"/>
      <c r="J21" s="233">
        <f t="shared" si="6"/>
        <v>3121.2653859129259</v>
      </c>
      <c r="K21" s="262">
        <f t="shared" si="3"/>
        <v>0</v>
      </c>
      <c r="L21" s="269">
        <f t="shared" si="7"/>
        <v>0</v>
      </c>
      <c r="M21" s="262"/>
      <c r="N21" s="271">
        <f>Données!S21</f>
        <v>984066.25</v>
      </c>
      <c r="O21" s="271">
        <f>Données!T21</f>
        <v>169296.4</v>
      </c>
      <c r="P21" s="271">
        <f>Données!U21</f>
        <v>601789.05000000005</v>
      </c>
      <c r="Q21" s="246">
        <f>Données!V21</f>
        <v>1578502.7</v>
      </c>
      <c r="R21" s="233">
        <f t="shared" si="4"/>
        <v>1351126.66</v>
      </c>
      <c r="S21" s="250">
        <f t="shared" si="5"/>
        <v>-1198416.0037108755</v>
      </c>
      <c r="T21" s="251">
        <f t="shared" si="8"/>
        <v>152710.6562891244</v>
      </c>
    </row>
    <row r="22" spans="1:20" x14ac:dyDescent="0.25">
      <c r="A22" s="108">
        <f>Données!A22</f>
        <v>5415</v>
      </c>
      <c r="B22" s="120" t="str">
        <f>Données!B22</f>
        <v>Yvorne</v>
      </c>
      <c r="C22" s="249">
        <f>Données!C22</f>
        <v>1119</v>
      </c>
      <c r="D22" s="246">
        <f>RFS!W22</f>
        <v>2569702.1400144175</v>
      </c>
      <c r="E22" s="262"/>
      <c r="F22" s="268">
        <f t="shared" si="0"/>
        <v>2296.4272922380851</v>
      </c>
      <c r="G22" s="262">
        <f t="shared" si="1"/>
        <v>-1131.9647119158003</v>
      </c>
      <c r="H22" s="269">
        <f t="shared" si="2"/>
        <v>-1013334.8101070244</v>
      </c>
      <c r="I22" s="241"/>
      <c r="J22" s="233">
        <f t="shared" si="6"/>
        <v>3201.9990617707253</v>
      </c>
      <c r="K22" s="262">
        <f t="shared" si="3"/>
        <v>0</v>
      </c>
      <c r="L22" s="269">
        <f t="shared" si="7"/>
        <v>0</v>
      </c>
      <c r="M22" s="262"/>
      <c r="N22" s="271">
        <f>Données!S22</f>
        <v>98053.75</v>
      </c>
      <c r="O22" s="271">
        <f>Données!T22</f>
        <v>45305.5</v>
      </c>
      <c r="P22" s="271">
        <f>Données!U22</f>
        <v>86785.7</v>
      </c>
      <c r="Q22" s="246">
        <f>Données!V22</f>
        <v>39756.25</v>
      </c>
      <c r="R22" s="233">
        <f t="shared" si="4"/>
        <v>126999.35</v>
      </c>
      <c r="S22" s="250">
        <f t="shared" si="5"/>
        <v>-220817.96610447383</v>
      </c>
      <c r="T22" s="251">
        <f t="shared" si="8"/>
        <v>-93818.616104473826</v>
      </c>
    </row>
    <row r="23" spans="1:20" x14ac:dyDescent="0.25">
      <c r="A23" s="108">
        <f>Données!A23</f>
        <v>5422</v>
      </c>
      <c r="B23" s="120" t="str">
        <f>Données!B23</f>
        <v>Aubonne</v>
      </c>
      <c r="C23" s="249">
        <f>Données!C23</f>
        <v>3896</v>
      </c>
      <c r="D23" s="246">
        <f>RFS!W23</f>
        <v>28473356.329681624</v>
      </c>
      <c r="E23" s="262"/>
      <c r="F23" s="268">
        <f t="shared" si="0"/>
        <v>7308.3563474542152</v>
      </c>
      <c r="G23" s="262">
        <f t="shared" si="1"/>
        <v>3879.9643433003298</v>
      </c>
      <c r="H23" s="269">
        <f t="shared" si="2"/>
        <v>12093072.865198469</v>
      </c>
      <c r="I23" s="241"/>
      <c r="J23" s="233">
        <f t="shared" si="6"/>
        <v>4204.3848728139519</v>
      </c>
      <c r="K23" s="262">
        <f t="shared" si="3"/>
        <v>0</v>
      </c>
      <c r="L23" s="269">
        <f t="shared" si="7"/>
        <v>0</v>
      </c>
      <c r="M23" s="262"/>
      <c r="N23" s="271">
        <f>Données!S23</f>
        <v>526742.1</v>
      </c>
      <c r="O23" s="271">
        <f>Données!T23</f>
        <v>562829.69999999995</v>
      </c>
      <c r="P23" s="271">
        <f>Données!U23</f>
        <v>528128.6</v>
      </c>
      <c r="Q23" s="246">
        <f>Données!V23</f>
        <v>944978.55</v>
      </c>
      <c r="R23" s="233">
        <f t="shared" si="4"/>
        <v>1092343.7649999999</v>
      </c>
      <c r="S23" s="250">
        <f t="shared" si="5"/>
        <v>-768817.51201343175</v>
      </c>
      <c r="T23" s="251">
        <f t="shared" si="8"/>
        <v>323526.25298656814</v>
      </c>
    </row>
    <row r="24" spans="1:20" x14ac:dyDescent="0.25">
      <c r="A24" s="108">
        <f>Données!A24</f>
        <v>5423</v>
      </c>
      <c r="B24" s="120" t="str">
        <f>Données!B24</f>
        <v>Ballens</v>
      </c>
      <c r="C24" s="249">
        <f>Données!C24</f>
        <v>580</v>
      </c>
      <c r="D24" s="246">
        <f>RFS!W24</f>
        <v>1117871.4069473629</v>
      </c>
      <c r="E24" s="262"/>
      <c r="F24" s="268">
        <f t="shared" si="0"/>
        <v>1927.3644947368327</v>
      </c>
      <c r="G24" s="262">
        <f t="shared" si="1"/>
        <v>-1501.0275094170527</v>
      </c>
      <c r="H24" s="269">
        <f t="shared" si="2"/>
        <v>-696476.76436951244</v>
      </c>
      <c r="I24" s="241"/>
      <c r="J24" s="233">
        <f t="shared" si="6"/>
        <v>3128.1865022704746</v>
      </c>
      <c r="K24" s="262">
        <f t="shared" si="3"/>
        <v>0</v>
      </c>
      <c r="L24" s="269">
        <f t="shared" si="7"/>
        <v>0</v>
      </c>
      <c r="M24" s="262"/>
      <c r="N24" s="271">
        <f>Données!S24</f>
        <v>72397</v>
      </c>
      <c r="O24" s="271">
        <f>Données!T24</f>
        <v>0</v>
      </c>
      <c r="P24" s="271">
        <f>Données!U24</f>
        <v>42955.9</v>
      </c>
      <c r="Q24" s="246">
        <f>Données!V24</f>
        <v>25512.2</v>
      </c>
      <c r="R24" s="233">
        <f t="shared" si="4"/>
        <v>65330.11</v>
      </c>
      <c r="S24" s="250">
        <f t="shared" si="5"/>
        <v>-114454.35240446366</v>
      </c>
      <c r="T24" s="251">
        <f t="shared" si="8"/>
        <v>-49124.242404463657</v>
      </c>
    </row>
    <row r="25" spans="1:20" x14ac:dyDescent="0.25">
      <c r="A25" s="108">
        <f>Données!A25</f>
        <v>5424</v>
      </c>
      <c r="B25" s="120" t="str">
        <f>Données!B25</f>
        <v>Berolle</v>
      </c>
      <c r="C25" s="249">
        <f>Données!C25</f>
        <v>300</v>
      </c>
      <c r="D25" s="246">
        <f>RFS!W25</f>
        <v>684440.93210052187</v>
      </c>
      <c r="E25" s="262"/>
      <c r="F25" s="268">
        <f t="shared" si="0"/>
        <v>2281.4697736684061</v>
      </c>
      <c r="G25" s="262">
        <f t="shared" si="1"/>
        <v>-1146.9222304854793</v>
      </c>
      <c r="H25" s="269">
        <f t="shared" si="2"/>
        <v>-275261.33531651506</v>
      </c>
      <c r="I25" s="241"/>
      <c r="J25" s="233">
        <f t="shared" si="6"/>
        <v>3199.0075580567895</v>
      </c>
      <c r="K25" s="262">
        <f t="shared" si="3"/>
        <v>0</v>
      </c>
      <c r="L25" s="269">
        <f t="shared" si="7"/>
        <v>0</v>
      </c>
      <c r="M25" s="262"/>
      <c r="N25" s="271">
        <f>Données!S25</f>
        <v>12155</v>
      </c>
      <c r="O25" s="271">
        <f>Données!T25</f>
        <v>0</v>
      </c>
      <c r="P25" s="271">
        <f>Données!U25</f>
        <v>36729</v>
      </c>
      <c r="Q25" s="246">
        <f>Données!V25</f>
        <v>1089.6500000000001</v>
      </c>
      <c r="R25" s="233">
        <f t="shared" si="4"/>
        <v>24768.895</v>
      </c>
      <c r="S25" s="250">
        <f t="shared" si="5"/>
        <v>-59200.527105757064</v>
      </c>
      <c r="T25" s="251">
        <f t="shared" si="8"/>
        <v>-34431.63210575706</v>
      </c>
    </row>
    <row r="26" spans="1:20" x14ac:dyDescent="0.25">
      <c r="A26" s="108">
        <f>Données!A26</f>
        <v>5425</v>
      </c>
      <c r="B26" s="120" t="str">
        <f>Données!B26</f>
        <v>Bière</v>
      </c>
      <c r="C26" s="249">
        <f>Données!C26</f>
        <v>1701</v>
      </c>
      <c r="D26" s="246">
        <f>RFS!W26</f>
        <v>3005175.0975862429</v>
      </c>
      <c r="E26" s="262"/>
      <c r="F26" s="268">
        <f t="shared" si="0"/>
        <v>1766.7108157473504</v>
      </c>
      <c r="G26" s="262">
        <f t="shared" si="1"/>
        <v>-1661.6811884065351</v>
      </c>
      <c r="H26" s="269">
        <f t="shared" si="2"/>
        <v>-2261215.761183613</v>
      </c>
      <c r="I26" s="241"/>
      <c r="J26" s="233">
        <f t="shared" si="6"/>
        <v>3096.0557664725789</v>
      </c>
      <c r="K26" s="262">
        <f t="shared" si="3"/>
        <v>0</v>
      </c>
      <c r="L26" s="269">
        <f t="shared" si="7"/>
        <v>0</v>
      </c>
      <c r="M26" s="262"/>
      <c r="N26" s="271">
        <f>Données!S26</f>
        <v>167754.4</v>
      </c>
      <c r="O26" s="271">
        <f>Données!T26</f>
        <v>7498.1</v>
      </c>
      <c r="P26" s="271">
        <f>Données!U26</f>
        <v>124489.4</v>
      </c>
      <c r="Q26" s="246">
        <f>Données!V26</f>
        <v>95457.9</v>
      </c>
      <c r="R26" s="233">
        <f t="shared" si="4"/>
        <v>178508.32</v>
      </c>
      <c r="S26" s="250">
        <f t="shared" si="5"/>
        <v>-335666.98868964252</v>
      </c>
      <c r="T26" s="251">
        <f t="shared" si="8"/>
        <v>-157158.66868964251</v>
      </c>
    </row>
    <row r="27" spans="1:20" x14ac:dyDescent="0.25">
      <c r="A27" s="108">
        <f>Données!A27</f>
        <v>5426</v>
      </c>
      <c r="B27" s="120" t="str">
        <f>Données!B27</f>
        <v>Bougy-Villars</v>
      </c>
      <c r="C27" s="249">
        <f>Données!C27</f>
        <v>493</v>
      </c>
      <c r="D27" s="246">
        <f>RFS!W27</f>
        <v>5160858.7526662862</v>
      </c>
      <c r="E27" s="262"/>
      <c r="F27" s="268">
        <f t="shared" si="0"/>
        <v>10468.273331980297</v>
      </c>
      <c r="G27" s="262">
        <f t="shared" si="1"/>
        <v>7039.8813278264115</v>
      </c>
      <c r="H27" s="269">
        <f t="shared" si="2"/>
        <v>2776529.1956947367</v>
      </c>
      <c r="I27" s="241"/>
      <c r="J27" s="233">
        <f t="shared" si="6"/>
        <v>4836.3682697191671</v>
      </c>
      <c r="K27" s="262">
        <f t="shared" si="3"/>
        <v>0</v>
      </c>
      <c r="L27" s="269">
        <f t="shared" si="7"/>
        <v>0</v>
      </c>
      <c r="M27" s="262"/>
      <c r="N27" s="271">
        <f>Données!S27</f>
        <v>161661</v>
      </c>
      <c r="O27" s="271">
        <f>Données!T27</f>
        <v>1821.4</v>
      </c>
      <c r="P27" s="271">
        <f>Données!U27</f>
        <v>69916.399999999994</v>
      </c>
      <c r="Q27" s="246">
        <f>Données!V27</f>
        <v>18111.75</v>
      </c>
      <c r="R27" s="233">
        <f t="shared" si="4"/>
        <v>122132.92499999999</v>
      </c>
      <c r="S27" s="250">
        <f t="shared" si="5"/>
        <v>-97286.199543794108</v>
      </c>
      <c r="T27" s="251">
        <f t="shared" si="8"/>
        <v>24846.725456205881</v>
      </c>
    </row>
    <row r="28" spans="1:20" x14ac:dyDescent="0.25">
      <c r="A28" s="108">
        <f>Données!A28</f>
        <v>5427</v>
      </c>
      <c r="B28" s="120" t="str">
        <f>Données!B28</f>
        <v>Féchy</v>
      </c>
      <c r="C28" s="249">
        <f>Données!C28</f>
        <v>906</v>
      </c>
      <c r="D28" s="246">
        <f>RFS!W28</f>
        <v>5505852.7421405744</v>
      </c>
      <c r="E28" s="262"/>
      <c r="F28" s="268">
        <f t="shared" si="0"/>
        <v>6077.1001568880511</v>
      </c>
      <c r="G28" s="262">
        <f t="shared" si="1"/>
        <v>2648.7081527341657</v>
      </c>
      <c r="H28" s="269">
        <f t="shared" si="2"/>
        <v>1919783.6691017232</v>
      </c>
      <c r="I28" s="241"/>
      <c r="J28" s="233">
        <f t="shared" si="6"/>
        <v>3958.1336347007186</v>
      </c>
      <c r="K28" s="262">
        <f t="shared" si="3"/>
        <v>0</v>
      </c>
      <c r="L28" s="269">
        <f t="shared" si="7"/>
        <v>0</v>
      </c>
      <c r="M28" s="262"/>
      <c r="N28" s="271">
        <f>Données!S28</f>
        <v>222675.4</v>
      </c>
      <c r="O28" s="271">
        <f>Données!T28</f>
        <v>66500</v>
      </c>
      <c r="P28" s="271">
        <f>Données!U28</f>
        <v>82269.05</v>
      </c>
      <c r="Q28" s="246">
        <f>Données!V28</f>
        <v>16792.05</v>
      </c>
      <c r="R28" s="233">
        <f t="shared" si="4"/>
        <v>190759.84</v>
      </c>
      <c r="S28" s="250">
        <f t="shared" si="5"/>
        <v>-178785.59185938633</v>
      </c>
      <c r="T28" s="251">
        <f t="shared" si="8"/>
        <v>11974.248140613665</v>
      </c>
    </row>
    <row r="29" spans="1:20" x14ac:dyDescent="0.25">
      <c r="A29" s="108">
        <f>Données!A29</f>
        <v>5428</v>
      </c>
      <c r="B29" s="120" t="str">
        <f>Données!B29</f>
        <v>Gimel</v>
      </c>
      <c r="C29" s="249">
        <f>Données!C29</f>
        <v>3343</v>
      </c>
      <c r="D29" s="246">
        <f>RFS!W29</f>
        <v>7274066.6259851474</v>
      </c>
      <c r="E29" s="262"/>
      <c r="F29" s="268">
        <f t="shared" si="0"/>
        <v>2175.9098492327694</v>
      </c>
      <c r="G29" s="262">
        <f t="shared" si="1"/>
        <v>-1252.482154921116</v>
      </c>
      <c r="H29" s="269">
        <f t="shared" si="2"/>
        <v>-3349638.2751210327</v>
      </c>
      <c r="I29" s="241"/>
      <c r="J29" s="233">
        <f t="shared" si="6"/>
        <v>3177.8955731696624</v>
      </c>
      <c r="K29" s="262">
        <f t="shared" si="3"/>
        <v>0</v>
      </c>
      <c r="L29" s="269">
        <f t="shared" si="7"/>
        <v>0</v>
      </c>
      <c r="M29" s="262"/>
      <c r="N29" s="271">
        <f>Données!S29</f>
        <v>418993.25</v>
      </c>
      <c r="O29" s="271">
        <f>Données!T29</f>
        <v>455796.7</v>
      </c>
      <c r="P29" s="271">
        <f>Données!U29</f>
        <v>308449.05</v>
      </c>
      <c r="Q29" s="246">
        <f>Données!V29</f>
        <v>194209.05</v>
      </c>
      <c r="R29" s="233">
        <f t="shared" si="4"/>
        <v>649882.21499999997</v>
      </c>
      <c r="S29" s="250">
        <f t="shared" si="5"/>
        <v>-659691.20704848622</v>
      </c>
      <c r="T29" s="251">
        <f t="shared" si="8"/>
        <v>-9808.9920484862523</v>
      </c>
    </row>
    <row r="30" spans="1:20" x14ac:dyDescent="0.25">
      <c r="A30" s="108">
        <f>Données!A30</f>
        <v>5429</v>
      </c>
      <c r="B30" s="120" t="str">
        <f>Données!B30</f>
        <v>Longirod</v>
      </c>
      <c r="C30" s="249">
        <f>Données!C30</f>
        <v>558</v>
      </c>
      <c r="D30" s="246">
        <f>RFS!W30</f>
        <v>1276506.7550573449</v>
      </c>
      <c r="E30" s="262"/>
      <c r="F30" s="268">
        <f t="shared" si="0"/>
        <v>2287.6465144396861</v>
      </c>
      <c r="G30" s="262">
        <f t="shared" si="1"/>
        <v>-1140.7454897141993</v>
      </c>
      <c r="H30" s="269">
        <f t="shared" si="2"/>
        <v>-509228.78660841857</v>
      </c>
      <c r="I30" s="241"/>
      <c r="J30" s="233">
        <f t="shared" si="6"/>
        <v>3200.2429062110459</v>
      </c>
      <c r="K30" s="262">
        <f t="shared" si="3"/>
        <v>0</v>
      </c>
      <c r="L30" s="269">
        <f t="shared" si="7"/>
        <v>0</v>
      </c>
      <c r="M30" s="262"/>
      <c r="N30" s="271">
        <f>Données!S30</f>
        <v>83985</v>
      </c>
      <c r="O30" s="271">
        <f>Données!T30</f>
        <v>0</v>
      </c>
      <c r="P30" s="271">
        <f>Données!U30</f>
        <v>72499.850000000006</v>
      </c>
      <c r="Q30" s="246">
        <f>Données!V30</f>
        <v>12428.5</v>
      </c>
      <c r="R30" s="233">
        <f t="shared" si="4"/>
        <v>81970.975000000006</v>
      </c>
      <c r="S30" s="250">
        <f t="shared" si="5"/>
        <v>-110112.98041670813</v>
      </c>
      <c r="T30" s="251">
        <f t="shared" si="8"/>
        <v>-28142.005416708125</v>
      </c>
    </row>
    <row r="31" spans="1:20" x14ac:dyDescent="0.25">
      <c r="A31" s="108">
        <f>Données!A31</f>
        <v>5430</v>
      </c>
      <c r="B31" s="120" t="str">
        <f>Données!B31</f>
        <v>Marchissy</v>
      </c>
      <c r="C31" s="249">
        <f>Données!C31</f>
        <v>492</v>
      </c>
      <c r="D31" s="246">
        <f>RFS!W31</f>
        <v>1191602.1639859206</v>
      </c>
      <c r="E31" s="262"/>
      <c r="F31" s="268">
        <f t="shared" si="0"/>
        <v>2421.9556178575622</v>
      </c>
      <c r="G31" s="262">
        <f t="shared" si="1"/>
        <v>-1006.4363862963232</v>
      </c>
      <c r="H31" s="269">
        <f t="shared" si="2"/>
        <v>-396133.36164623289</v>
      </c>
      <c r="I31" s="241"/>
      <c r="J31" s="233">
        <f t="shared" si="6"/>
        <v>3227.1047268946209</v>
      </c>
      <c r="K31" s="262">
        <f t="shared" si="3"/>
        <v>0</v>
      </c>
      <c r="L31" s="269">
        <f t="shared" si="7"/>
        <v>0</v>
      </c>
      <c r="M31" s="262"/>
      <c r="N31" s="271">
        <f>Données!S31</f>
        <v>18900.150000000001</v>
      </c>
      <c r="O31" s="271">
        <f>Données!T31</f>
        <v>0</v>
      </c>
      <c r="P31" s="271">
        <f>Données!U31</f>
        <v>28414.5</v>
      </c>
      <c r="Q31" s="246">
        <f>Données!V31</f>
        <v>13140.85</v>
      </c>
      <c r="R31" s="233">
        <f t="shared" si="4"/>
        <v>27599.58</v>
      </c>
      <c r="S31" s="250">
        <f t="shared" si="5"/>
        <v>-97088.86445344158</v>
      </c>
      <c r="T31" s="251">
        <f t="shared" si="8"/>
        <v>-69489.284453441578</v>
      </c>
    </row>
    <row r="32" spans="1:20" x14ac:dyDescent="0.25">
      <c r="A32" s="108">
        <f>Données!A32</f>
        <v>5431</v>
      </c>
      <c r="B32" s="120" t="str">
        <f>Données!B32</f>
        <v>Mollens</v>
      </c>
      <c r="C32" s="249">
        <f>Données!C32</f>
        <v>320</v>
      </c>
      <c r="D32" s="246">
        <f>RFS!W32</f>
        <v>763202.19882349367</v>
      </c>
      <c r="E32" s="262"/>
      <c r="F32" s="268">
        <f t="shared" si="0"/>
        <v>2385.0068713234177</v>
      </c>
      <c r="G32" s="262">
        <f t="shared" si="1"/>
        <v>-1043.3851328304677</v>
      </c>
      <c r="H32" s="269">
        <f t="shared" si="2"/>
        <v>-267106.59400459973</v>
      </c>
      <c r="I32" s="241"/>
      <c r="J32" s="233">
        <f t="shared" si="6"/>
        <v>3219.714977587792</v>
      </c>
      <c r="K32" s="262">
        <f t="shared" si="3"/>
        <v>0</v>
      </c>
      <c r="L32" s="269">
        <f t="shared" si="7"/>
        <v>0</v>
      </c>
      <c r="M32" s="262"/>
      <c r="N32" s="271">
        <f>Données!S32</f>
        <v>36400.949999999997</v>
      </c>
      <c r="O32" s="271">
        <f>Données!T32</f>
        <v>0</v>
      </c>
      <c r="P32" s="271">
        <f>Données!U32</f>
        <v>28952.35</v>
      </c>
      <c r="Q32" s="246">
        <f>Données!V32</f>
        <v>723.65</v>
      </c>
      <c r="R32" s="233">
        <f t="shared" si="4"/>
        <v>32893.744999999995</v>
      </c>
      <c r="S32" s="250">
        <f t="shared" si="5"/>
        <v>-63147.228912807535</v>
      </c>
      <c r="T32" s="251">
        <f t="shared" si="8"/>
        <v>-30253.48391280754</v>
      </c>
    </row>
    <row r="33" spans="1:20" x14ac:dyDescent="0.25">
      <c r="A33" s="108">
        <f>Données!A33</f>
        <v>5434</v>
      </c>
      <c r="B33" s="120" t="str">
        <f>Données!B33</f>
        <v>Saint-George</v>
      </c>
      <c r="C33" s="249">
        <f>Données!C33</f>
        <v>1082</v>
      </c>
      <c r="D33" s="246">
        <f>RFS!W33</f>
        <v>3143556.6852865983</v>
      </c>
      <c r="E33" s="262"/>
      <c r="F33" s="268">
        <f t="shared" si="0"/>
        <v>2905.3204115402941</v>
      </c>
      <c r="G33" s="262">
        <f t="shared" si="1"/>
        <v>-523.07159261359129</v>
      </c>
      <c r="H33" s="269">
        <f t="shared" si="2"/>
        <v>-452770.77056632465</v>
      </c>
      <c r="I33" s="241"/>
      <c r="J33" s="233">
        <f t="shared" si="6"/>
        <v>3323.7776856311671</v>
      </c>
      <c r="K33" s="262">
        <f t="shared" si="3"/>
        <v>0</v>
      </c>
      <c r="L33" s="269">
        <f t="shared" si="7"/>
        <v>0</v>
      </c>
      <c r="M33" s="262"/>
      <c r="N33" s="271">
        <f>Données!S33</f>
        <v>101871</v>
      </c>
      <c r="O33" s="271">
        <f>Données!T33</f>
        <v>2037.2</v>
      </c>
      <c r="P33" s="271">
        <f>Données!U33</f>
        <v>127354.45</v>
      </c>
      <c r="Q33" s="246">
        <f>Données!V33</f>
        <v>9697.25</v>
      </c>
      <c r="R33" s="233">
        <f t="shared" si="4"/>
        <v>118540.5</v>
      </c>
      <c r="S33" s="250">
        <f t="shared" si="5"/>
        <v>-213516.56776143046</v>
      </c>
      <c r="T33" s="251">
        <f t="shared" si="8"/>
        <v>-94976.067761430459</v>
      </c>
    </row>
    <row r="34" spans="1:20" x14ac:dyDescent="0.25">
      <c r="A34" s="108">
        <f>Données!A34</f>
        <v>5435</v>
      </c>
      <c r="B34" s="120" t="str">
        <f>Données!B34</f>
        <v>Saint-Livres</v>
      </c>
      <c r="C34" s="249">
        <f>Données!C34</f>
        <v>708</v>
      </c>
      <c r="D34" s="246">
        <f>RFS!W34</f>
        <v>1643868.839134444</v>
      </c>
      <c r="E34" s="262"/>
      <c r="F34" s="268">
        <f t="shared" si="0"/>
        <v>2321.8486428452597</v>
      </c>
      <c r="G34" s="262">
        <f t="shared" si="1"/>
        <v>-1106.5433613086257</v>
      </c>
      <c r="H34" s="269">
        <f t="shared" si="2"/>
        <v>-626746.15984520561</v>
      </c>
      <c r="I34" s="241"/>
      <c r="J34" s="233">
        <f t="shared" si="6"/>
        <v>3207.0833318921605</v>
      </c>
      <c r="K34" s="262">
        <f t="shared" si="3"/>
        <v>0</v>
      </c>
      <c r="L34" s="269">
        <f t="shared" si="7"/>
        <v>0</v>
      </c>
      <c r="M34" s="262"/>
      <c r="N34" s="271">
        <f>Données!S34</f>
        <v>25772.9</v>
      </c>
      <c r="O34" s="271">
        <f>Données!T34</f>
        <v>0</v>
      </c>
      <c r="P34" s="271">
        <f>Données!U34</f>
        <v>53579.75</v>
      </c>
      <c r="Q34" s="246">
        <f>Données!V34</f>
        <v>3060.15</v>
      </c>
      <c r="R34" s="233">
        <f t="shared" si="4"/>
        <v>40594.369999999995</v>
      </c>
      <c r="S34" s="250">
        <f t="shared" si="5"/>
        <v>-139713.24396958668</v>
      </c>
      <c r="T34" s="251">
        <f t="shared" si="8"/>
        <v>-99118.873969586683</v>
      </c>
    </row>
    <row r="35" spans="1:20" x14ac:dyDescent="0.25">
      <c r="A35" s="108">
        <f>Données!A35</f>
        <v>5451</v>
      </c>
      <c r="B35" s="120" t="str">
        <f>Données!B35</f>
        <v>Avenches</v>
      </c>
      <c r="C35" s="249">
        <f>Données!C35</f>
        <v>4953</v>
      </c>
      <c r="D35" s="246">
        <f>RFS!W35</f>
        <v>9493931.8354127072</v>
      </c>
      <c r="E35" s="262"/>
      <c r="F35" s="268">
        <f t="shared" si="0"/>
        <v>1916.8043277635186</v>
      </c>
      <c r="G35" s="262">
        <f t="shared" si="1"/>
        <v>-1511.5876763903668</v>
      </c>
      <c r="H35" s="269">
        <f t="shared" si="2"/>
        <v>-5989515.0089291893</v>
      </c>
      <c r="I35" s="241"/>
      <c r="J35" s="233">
        <f t="shared" si="6"/>
        <v>3126.0744688758118</v>
      </c>
      <c r="K35" s="262">
        <f t="shared" si="3"/>
        <v>0</v>
      </c>
      <c r="L35" s="269">
        <f t="shared" si="7"/>
        <v>0</v>
      </c>
      <c r="M35" s="262"/>
      <c r="N35" s="271">
        <f>Données!S35</f>
        <v>446524.9</v>
      </c>
      <c r="O35" s="271">
        <f>Données!T35</f>
        <v>94100.6</v>
      </c>
      <c r="P35" s="271">
        <f>Données!U35</f>
        <v>163163.95000000001</v>
      </c>
      <c r="Q35" s="246">
        <f>Données!V35</f>
        <v>573118.55000000005</v>
      </c>
      <c r="R35" s="233">
        <f t="shared" si="4"/>
        <v>523830.29</v>
      </c>
      <c r="S35" s="250">
        <f t="shared" si="5"/>
        <v>-977400.70251604903</v>
      </c>
      <c r="T35" s="251">
        <f t="shared" si="8"/>
        <v>-453570.41251604905</v>
      </c>
    </row>
    <row r="36" spans="1:20" x14ac:dyDescent="0.25">
      <c r="A36" s="108">
        <f>Données!A36</f>
        <v>5456</v>
      </c>
      <c r="B36" s="120" t="str">
        <f>Données!B36</f>
        <v>Cudrefin</v>
      </c>
      <c r="C36" s="249">
        <f>Données!C36</f>
        <v>1915</v>
      </c>
      <c r="D36" s="246">
        <f>RFS!W36</f>
        <v>4720380.1926100645</v>
      </c>
      <c r="E36" s="262"/>
      <c r="F36" s="268">
        <f t="shared" si="0"/>
        <v>2464.9504922245769</v>
      </c>
      <c r="G36" s="262">
        <f t="shared" si="1"/>
        <v>-963.44151192930849</v>
      </c>
      <c r="H36" s="269">
        <f t="shared" si="2"/>
        <v>-1475992.3962757005</v>
      </c>
      <c r="I36" s="241"/>
      <c r="J36" s="233">
        <f t="shared" si="6"/>
        <v>3235.7037017680236</v>
      </c>
      <c r="K36" s="262">
        <f t="shared" si="3"/>
        <v>0</v>
      </c>
      <c r="L36" s="269">
        <f t="shared" si="7"/>
        <v>0</v>
      </c>
      <c r="M36" s="262"/>
      <c r="N36" s="271">
        <f>Données!S36</f>
        <v>208166</v>
      </c>
      <c r="O36" s="271">
        <f>Données!T36</f>
        <v>37220.9</v>
      </c>
      <c r="P36" s="271">
        <f>Données!U36</f>
        <v>224374.6</v>
      </c>
      <c r="Q36" s="246">
        <f>Données!V36</f>
        <v>1398</v>
      </c>
      <c r="R36" s="233">
        <f t="shared" si="4"/>
        <v>235300.15</v>
      </c>
      <c r="S36" s="250">
        <f t="shared" si="5"/>
        <v>-377896.69802508259</v>
      </c>
      <c r="T36" s="251">
        <f t="shared" si="8"/>
        <v>-142596.54802508259</v>
      </c>
    </row>
    <row r="37" spans="1:20" x14ac:dyDescent="0.25">
      <c r="A37" s="108">
        <f>Données!A37</f>
        <v>5458</v>
      </c>
      <c r="B37" s="120" t="str">
        <f>Données!B37</f>
        <v>Faoug</v>
      </c>
      <c r="C37" s="249">
        <f>Données!C37</f>
        <v>902</v>
      </c>
      <c r="D37" s="246">
        <f>RFS!W37</f>
        <v>2130300.2192305732</v>
      </c>
      <c r="E37" s="262"/>
      <c r="F37" s="268">
        <f t="shared" si="0"/>
        <v>2361.7519060205909</v>
      </c>
      <c r="G37" s="262">
        <f t="shared" si="1"/>
        <v>-1066.6400981332945</v>
      </c>
      <c r="H37" s="269">
        <f t="shared" si="2"/>
        <v>-769687.49481298542</v>
      </c>
      <c r="I37" s="241"/>
      <c r="J37" s="233">
        <f t="shared" si="6"/>
        <v>3215.0639845272267</v>
      </c>
      <c r="K37" s="262">
        <f t="shared" si="3"/>
        <v>0</v>
      </c>
      <c r="L37" s="269">
        <f t="shared" si="7"/>
        <v>0</v>
      </c>
      <c r="M37" s="262"/>
      <c r="N37" s="271">
        <f>Données!S37</f>
        <v>80096.5</v>
      </c>
      <c r="O37" s="271">
        <f>Données!T37</f>
        <v>80255.399999999994</v>
      </c>
      <c r="P37" s="271">
        <f>Données!U37</f>
        <v>68490.7</v>
      </c>
      <c r="Q37" s="246">
        <f>Données!V37</f>
        <v>2522.9</v>
      </c>
      <c r="R37" s="233">
        <f t="shared" si="4"/>
        <v>115178.16999999998</v>
      </c>
      <c r="S37" s="250">
        <f t="shared" si="5"/>
        <v>-177996.25149797622</v>
      </c>
      <c r="T37" s="251">
        <f t="shared" si="8"/>
        <v>-62818.081497976236</v>
      </c>
    </row>
    <row r="38" spans="1:20" x14ac:dyDescent="0.25">
      <c r="A38" s="108">
        <f>Données!A38</f>
        <v>5464</v>
      </c>
      <c r="B38" s="120" t="str">
        <f>Données!B38</f>
        <v>Vully-les-Lacs</v>
      </c>
      <c r="C38" s="249">
        <f>Données!C38</f>
        <v>3698</v>
      </c>
      <c r="D38" s="246">
        <f>RFS!W38</f>
        <v>8658583.089873381</v>
      </c>
      <c r="E38" s="262"/>
      <c r="F38" s="268">
        <f t="shared" si="0"/>
        <v>2341.4232260339049</v>
      </c>
      <c r="G38" s="262">
        <f t="shared" si="1"/>
        <v>-1086.9687781199805</v>
      </c>
      <c r="H38" s="269">
        <f t="shared" si="2"/>
        <v>-3215688.4331901502</v>
      </c>
      <c r="I38" s="241"/>
      <c r="J38" s="233">
        <f t="shared" si="6"/>
        <v>3210.9982485298892</v>
      </c>
      <c r="K38" s="262">
        <f t="shared" si="3"/>
        <v>0</v>
      </c>
      <c r="L38" s="269">
        <f t="shared" si="7"/>
        <v>0</v>
      </c>
      <c r="M38" s="262"/>
      <c r="N38" s="271">
        <f>Données!S38</f>
        <v>349607.7</v>
      </c>
      <c r="O38" s="271">
        <f>Données!T38</f>
        <v>309947.90000000002</v>
      </c>
      <c r="P38" s="271">
        <f>Données!U38</f>
        <v>203242.4</v>
      </c>
      <c r="Q38" s="246">
        <f>Données!V38</f>
        <v>3970.3</v>
      </c>
      <c r="R38" s="233">
        <f t="shared" si="4"/>
        <v>432590.09000000008</v>
      </c>
      <c r="S38" s="250">
        <f t="shared" si="5"/>
        <v>-729745.16412363201</v>
      </c>
      <c r="T38" s="251">
        <f t="shared" si="8"/>
        <v>-297155.07412363193</v>
      </c>
    </row>
    <row r="39" spans="1:20" x14ac:dyDescent="0.25">
      <c r="A39" s="108">
        <f>Données!A39</f>
        <v>5471</v>
      </c>
      <c r="B39" s="120" t="str">
        <f>Données!B39</f>
        <v>Bettens</v>
      </c>
      <c r="C39" s="249">
        <f>Données!C39</f>
        <v>652</v>
      </c>
      <c r="D39" s="246">
        <f>RFS!W39</f>
        <v>1727912.8194884383</v>
      </c>
      <c r="E39" s="262"/>
      <c r="F39" s="268">
        <f t="shared" si="0"/>
        <v>2650.1730360252122</v>
      </c>
      <c r="G39" s="262">
        <f t="shared" si="1"/>
        <v>-778.21896812867317</v>
      </c>
      <c r="H39" s="269">
        <f t="shared" si="2"/>
        <v>-405919.01377591596</v>
      </c>
      <c r="I39" s="241"/>
      <c r="J39" s="233">
        <f t="shared" si="6"/>
        <v>3272.7482105281506</v>
      </c>
      <c r="K39" s="262">
        <f t="shared" si="3"/>
        <v>0</v>
      </c>
      <c r="L39" s="269">
        <f t="shared" si="7"/>
        <v>0</v>
      </c>
      <c r="M39" s="262"/>
      <c r="N39" s="271">
        <f>Données!S39</f>
        <v>68673</v>
      </c>
      <c r="O39" s="271">
        <f>Données!T39</f>
        <v>0</v>
      </c>
      <c r="P39" s="271">
        <f>Données!U39</f>
        <v>43356</v>
      </c>
      <c r="Q39" s="246">
        <f>Données!V39</f>
        <v>16883.150000000001</v>
      </c>
      <c r="R39" s="233">
        <f t="shared" si="4"/>
        <v>61079.445</v>
      </c>
      <c r="S39" s="250">
        <f t="shared" si="5"/>
        <v>-128662.47890984535</v>
      </c>
      <c r="T39" s="251">
        <f t="shared" si="8"/>
        <v>-67583.033909845341</v>
      </c>
    </row>
    <row r="40" spans="1:20" x14ac:dyDescent="0.25">
      <c r="A40" s="108">
        <f>Données!A40</f>
        <v>5472</v>
      </c>
      <c r="B40" s="120" t="str">
        <f>Données!B40</f>
        <v>Bournens</v>
      </c>
      <c r="C40" s="249">
        <f>Données!C40</f>
        <v>612</v>
      </c>
      <c r="D40" s="246">
        <f>RFS!W40</f>
        <v>1597024.3430689638</v>
      </c>
      <c r="E40" s="262"/>
      <c r="F40" s="268">
        <f t="shared" si="0"/>
        <v>2609.5169004394834</v>
      </c>
      <c r="G40" s="262">
        <f t="shared" si="1"/>
        <v>-818.87510371440203</v>
      </c>
      <c r="H40" s="269">
        <f t="shared" si="2"/>
        <v>-400921.2507785713</v>
      </c>
      <c r="I40" s="241"/>
      <c r="J40" s="233">
        <f t="shared" si="6"/>
        <v>3264.6169834110051</v>
      </c>
      <c r="K40" s="262">
        <f t="shared" si="3"/>
        <v>0</v>
      </c>
      <c r="L40" s="269">
        <f t="shared" si="7"/>
        <v>0</v>
      </c>
      <c r="M40" s="262"/>
      <c r="N40" s="271">
        <f>Données!S40</f>
        <v>371787.65</v>
      </c>
      <c r="O40" s="271">
        <f>Données!T40</f>
        <v>0</v>
      </c>
      <c r="P40" s="271">
        <f>Données!U40</f>
        <v>22654.25</v>
      </c>
      <c r="Q40" s="246">
        <f>Données!V40</f>
        <v>0</v>
      </c>
      <c r="R40" s="233">
        <f t="shared" si="4"/>
        <v>197220.95</v>
      </c>
      <c r="S40" s="250">
        <f t="shared" si="5"/>
        <v>-120769.07529574441</v>
      </c>
      <c r="T40" s="251">
        <f t="shared" si="8"/>
        <v>76451.874704255606</v>
      </c>
    </row>
    <row r="41" spans="1:20" x14ac:dyDescent="0.25">
      <c r="A41" s="108">
        <f>Données!A41</f>
        <v>5473</v>
      </c>
      <c r="B41" s="120" t="str">
        <f>Données!B41</f>
        <v>Boussens</v>
      </c>
      <c r="C41" s="249">
        <f>Données!C41</f>
        <v>1016</v>
      </c>
      <c r="D41" s="246">
        <f>RFS!W41</f>
        <v>2507125.0593101438</v>
      </c>
      <c r="E41" s="262"/>
      <c r="F41" s="268">
        <f t="shared" si="0"/>
        <v>2467.6427749115587</v>
      </c>
      <c r="G41" s="262">
        <f t="shared" si="1"/>
        <v>-960.74922924232669</v>
      </c>
      <c r="H41" s="269">
        <f t="shared" si="2"/>
        <v>-780896.97352816327</v>
      </c>
      <c r="I41" s="241"/>
      <c r="J41" s="233">
        <f t="shared" si="6"/>
        <v>3236.2421583054206</v>
      </c>
      <c r="K41" s="262">
        <f t="shared" si="3"/>
        <v>0</v>
      </c>
      <c r="L41" s="269">
        <f t="shared" si="7"/>
        <v>0</v>
      </c>
      <c r="M41" s="262"/>
      <c r="N41" s="271">
        <f>Données!S41</f>
        <v>186710</v>
      </c>
      <c r="O41" s="271">
        <f>Données!T41</f>
        <v>0</v>
      </c>
      <c r="P41" s="271">
        <f>Données!U41</f>
        <v>77732.100000000006</v>
      </c>
      <c r="Q41" s="246">
        <f>Données!V41</f>
        <v>18736.3</v>
      </c>
      <c r="R41" s="233">
        <f t="shared" si="4"/>
        <v>137841.94</v>
      </c>
      <c r="S41" s="250">
        <f t="shared" si="5"/>
        <v>-200492.45179816391</v>
      </c>
      <c r="T41" s="251">
        <f t="shared" si="8"/>
        <v>-62650.511798163905</v>
      </c>
    </row>
    <row r="42" spans="1:20" x14ac:dyDescent="0.25">
      <c r="A42" s="108">
        <f>Données!A42</f>
        <v>5474</v>
      </c>
      <c r="B42" s="120" t="str">
        <f>Données!B42</f>
        <v>La Chaux (Cossonay)</v>
      </c>
      <c r="C42" s="249">
        <f>Données!C42</f>
        <v>421</v>
      </c>
      <c r="D42" s="246">
        <f>RFS!W42</f>
        <v>910553.39484580292</v>
      </c>
      <c r="E42" s="262"/>
      <c r="F42" s="268">
        <f t="shared" si="0"/>
        <v>2162.8346670921683</v>
      </c>
      <c r="G42" s="262">
        <f t="shared" si="1"/>
        <v>-1265.5573370617171</v>
      </c>
      <c r="H42" s="269">
        <f t="shared" si="2"/>
        <v>-426239.71112238633</v>
      </c>
      <c r="I42" s="241"/>
      <c r="J42" s="233">
        <f t="shared" si="6"/>
        <v>3175.2805367415422</v>
      </c>
      <c r="K42" s="262">
        <f t="shared" si="3"/>
        <v>0</v>
      </c>
      <c r="L42" s="269">
        <f t="shared" si="7"/>
        <v>0</v>
      </c>
      <c r="M42" s="262"/>
      <c r="N42" s="271">
        <f>Données!S42</f>
        <v>25433.7</v>
      </c>
      <c r="O42" s="271">
        <f>Données!T42</f>
        <v>0</v>
      </c>
      <c r="P42" s="271">
        <f>Données!U42</f>
        <v>19266.650000000001</v>
      </c>
      <c r="Q42" s="246">
        <f>Données!V42</f>
        <v>5815.6</v>
      </c>
      <c r="R42" s="233">
        <f t="shared" si="4"/>
        <v>24094.855000000003</v>
      </c>
      <c r="S42" s="250">
        <f t="shared" si="5"/>
        <v>-83078.073038412404</v>
      </c>
      <c r="T42" s="251">
        <f t="shared" si="8"/>
        <v>-58983.2180384124</v>
      </c>
    </row>
    <row r="43" spans="1:20" x14ac:dyDescent="0.25">
      <c r="A43" s="108">
        <f>Données!A43</f>
        <v>5475</v>
      </c>
      <c r="B43" s="120" t="str">
        <f>Données!B43</f>
        <v>Chavannes-le-Veyron</v>
      </c>
      <c r="C43" s="249">
        <f>Données!C43</f>
        <v>160</v>
      </c>
      <c r="D43" s="246">
        <f>RFS!W43</f>
        <v>328750.29461729282</v>
      </c>
      <c r="E43" s="262"/>
      <c r="F43" s="268">
        <f t="shared" si="0"/>
        <v>2054.6893413580801</v>
      </c>
      <c r="G43" s="262">
        <f t="shared" si="1"/>
        <v>-1373.7026627958053</v>
      </c>
      <c r="H43" s="269">
        <f t="shared" si="2"/>
        <v>-175833.94083786308</v>
      </c>
      <c r="I43" s="241"/>
      <c r="J43" s="233">
        <f t="shared" si="6"/>
        <v>3153.6514715947242</v>
      </c>
      <c r="K43" s="262">
        <f t="shared" si="3"/>
        <v>0</v>
      </c>
      <c r="L43" s="269">
        <f t="shared" si="7"/>
        <v>0</v>
      </c>
      <c r="M43" s="262"/>
      <c r="N43" s="271">
        <f>Données!S43</f>
        <v>0</v>
      </c>
      <c r="O43" s="271">
        <f>Données!T43</f>
        <v>0</v>
      </c>
      <c r="P43" s="271">
        <f>Données!U43</f>
        <v>0</v>
      </c>
      <c r="Q43" s="246">
        <f>Données!V43</f>
        <v>1301.75</v>
      </c>
      <c r="R43" s="233">
        <f t="shared" si="4"/>
        <v>390.52499999999998</v>
      </c>
      <c r="S43" s="250">
        <f t="shared" si="5"/>
        <v>-31573.614456403768</v>
      </c>
      <c r="T43" s="251">
        <f t="shared" si="8"/>
        <v>-31183.089456403766</v>
      </c>
    </row>
    <row r="44" spans="1:20" x14ac:dyDescent="0.25">
      <c r="A44" s="108">
        <f>Données!A44</f>
        <v>5476</v>
      </c>
      <c r="B44" s="120" t="str">
        <f>Données!B44</f>
        <v>Chevilly</v>
      </c>
      <c r="C44" s="249">
        <f>Données!C44</f>
        <v>345</v>
      </c>
      <c r="D44" s="246">
        <f>RFS!W44</f>
        <v>778848.16938808456</v>
      </c>
      <c r="E44" s="262"/>
      <c r="F44" s="268">
        <f t="shared" si="0"/>
        <v>2257.530925762564</v>
      </c>
      <c r="G44" s="262">
        <f t="shared" si="1"/>
        <v>-1170.8610783913214</v>
      </c>
      <c r="H44" s="269">
        <f t="shared" si="2"/>
        <v>-323157.65763600473</v>
      </c>
      <c r="I44" s="241"/>
      <c r="J44" s="233">
        <f t="shared" si="6"/>
        <v>3194.2197884756206</v>
      </c>
      <c r="K44" s="262">
        <f t="shared" si="3"/>
        <v>0</v>
      </c>
      <c r="L44" s="269">
        <f t="shared" si="7"/>
        <v>0</v>
      </c>
      <c r="M44" s="262"/>
      <c r="N44" s="271">
        <f>Données!S44</f>
        <v>154348.6</v>
      </c>
      <c r="O44" s="271">
        <f>Données!T44</f>
        <v>0</v>
      </c>
      <c r="P44" s="271">
        <f>Données!U44</f>
        <v>14813</v>
      </c>
      <c r="Q44" s="246">
        <f>Données!V44</f>
        <v>0</v>
      </c>
      <c r="R44" s="233">
        <f t="shared" si="4"/>
        <v>84580.800000000003</v>
      </c>
      <c r="S44" s="250">
        <f t="shared" si="5"/>
        <v>-68080.606171620617</v>
      </c>
      <c r="T44" s="251">
        <f t="shared" si="8"/>
        <v>16500.193828379386</v>
      </c>
    </row>
    <row r="45" spans="1:20" x14ac:dyDescent="0.25">
      <c r="A45" s="108">
        <f>Données!A45</f>
        <v>5477</v>
      </c>
      <c r="B45" s="120" t="str">
        <f>Données!B45</f>
        <v>Cossonay</v>
      </c>
      <c r="C45" s="249">
        <f>Données!C45</f>
        <v>4974</v>
      </c>
      <c r="D45" s="246">
        <f>RFS!W45</f>
        <v>10227979.776650902</v>
      </c>
      <c r="E45" s="262"/>
      <c r="F45" s="268">
        <f t="shared" si="0"/>
        <v>2056.2886563431648</v>
      </c>
      <c r="G45" s="262">
        <f t="shared" si="1"/>
        <v>-1372.1033478107206</v>
      </c>
      <c r="H45" s="269">
        <f t="shared" si="2"/>
        <v>-5459873.6416084198</v>
      </c>
      <c r="I45" s="241"/>
      <c r="J45" s="233">
        <f t="shared" si="6"/>
        <v>3153.9713345917417</v>
      </c>
      <c r="K45" s="262">
        <f t="shared" si="3"/>
        <v>0</v>
      </c>
      <c r="L45" s="269">
        <f t="shared" si="7"/>
        <v>0</v>
      </c>
      <c r="M45" s="262"/>
      <c r="N45" s="271">
        <f>Données!S45</f>
        <v>372637.3</v>
      </c>
      <c r="O45" s="271">
        <f>Données!T45</f>
        <v>13256</v>
      </c>
      <c r="P45" s="271">
        <f>Données!U45</f>
        <v>1040239.25</v>
      </c>
      <c r="Q45" s="246">
        <f>Données!V45</f>
        <v>212360.5</v>
      </c>
      <c r="R45" s="233">
        <f t="shared" si="4"/>
        <v>776774.42500000005</v>
      </c>
      <c r="S45" s="250">
        <f t="shared" si="5"/>
        <v>-981544.7394134521</v>
      </c>
      <c r="T45" s="251">
        <f t="shared" si="8"/>
        <v>-204770.31441345206</v>
      </c>
    </row>
    <row r="46" spans="1:20" x14ac:dyDescent="0.25">
      <c r="A46" s="108">
        <f>Données!A46</f>
        <v>5479</v>
      </c>
      <c r="B46" s="120" t="str">
        <f>Données!B46</f>
        <v>Cuarnens</v>
      </c>
      <c r="C46" s="249">
        <f>Données!C46</f>
        <v>557</v>
      </c>
      <c r="D46" s="246">
        <f>RFS!W46</f>
        <v>1407808.331166324</v>
      </c>
      <c r="E46" s="262"/>
      <c r="F46" s="268">
        <f t="shared" si="0"/>
        <v>2527.4835388982478</v>
      </c>
      <c r="G46" s="262">
        <f t="shared" si="1"/>
        <v>-900.90846525563757</v>
      </c>
      <c r="H46" s="269">
        <f t="shared" si="2"/>
        <v>-401444.81211791211</v>
      </c>
      <c r="I46" s="241"/>
      <c r="J46" s="233">
        <f t="shared" si="6"/>
        <v>3248.2103111027577</v>
      </c>
      <c r="K46" s="262">
        <f t="shared" si="3"/>
        <v>0</v>
      </c>
      <c r="L46" s="269">
        <f t="shared" si="7"/>
        <v>0</v>
      </c>
      <c r="M46" s="262"/>
      <c r="N46" s="271">
        <f>Données!S46</f>
        <v>218300.05</v>
      </c>
      <c r="O46" s="271">
        <f>Données!T46</f>
        <v>25552.799999999999</v>
      </c>
      <c r="P46" s="271">
        <f>Données!U46</f>
        <v>37672.5</v>
      </c>
      <c r="Q46" s="246">
        <f>Données!V46</f>
        <v>11792.25</v>
      </c>
      <c r="R46" s="233">
        <f t="shared" si="4"/>
        <v>144300.34999999998</v>
      </c>
      <c r="S46" s="250">
        <f t="shared" si="5"/>
        <v>-109915.6453263556</v>
      </c>
      <c r="T46" s="251">
        <f t="shared" si="8"/>
        <v>34384.704673644374</v>
      </c>
    </row>
    <row r="47" spans="1:20" x14ac:dyDescent="0.25">
      <c r="A47" s="108">
        <f>Données!A47</f>
        <v>5480</v>
      </c>
      <c r="B47" s="120" t="str">
        <f>Données!B47</f>
        <v>Daillens</v>
      </c>
      <c r="C47" s="249">
        <f>Données!C47</f>
        <v>1113</v>
      </c>
      <c r="D47" s="246">
        <f>RFS!W47</f>
        <v>3215214.5542324269</v>
      </c>
      <c r="E47" s="262"/>
      <c r="F47" s="268">
        <f t="shared" si="0"/>
        <v>2888.7821691216773</v>
      </c>
      <c r="G47" s="262">
        <f t="shared" si="1"/>
        <v>-539.60983503220814</v>
      </c>
      <c r="H47" s="269">
        <f t="shared" si="2"/>
        <v>-480468.59711267817</v>
      </c>
      <c r="I47" s="241"/>
      <c r="J47" s="233">
        <f t="shared" si="6"/>
        <v>3320.4700371474437</v>
      </c>
      <c r="K47" s="262">
        <f t="shared" si="3"/>
        <v>0</v>
      </c>
      <c r="L47" s="269">
        <f t="shared" si="7"/>
        <v>0</v>
      </c>
      <c r="M47" s="262"/>
      <c r="N47" s="271">
        <f>Données!S47</f>
        <v>104700.8</v>
      </c>
      <c r="O47" s="271">
        <f>Données!T47</f>
        <v>229.2</v>
      </c>
      <c r="P47" s="271">
        <f>Données!U47</f>
        <v>86665.8</v>
      </c>
      <c r="Q47" s="246">
        <f>Données!V47</f>
        <v>198648.1</v>
      </c>
      <c r="R47" s="233">
        <f t="shared" si="4"/>
        <v>155392.32999999999</v>
      </c>
      <c r="S47" s="250">
        <f t="shared" si="5"/>
        <v>-219633.95556235869</v>
      </c>
      <c r="T47" s="251">
        <f t="shared" si="8"/>
        <v>-64241.625562358706</v>
      </c>
    </row>
    <row r="48" spans="1:20" x14ac:dyDescent="0.25">
      <c r="A48" s="108">
        <f>Données!A48</f>
        <v>5481</v>
      </c>
      <c r="B48" s="120" t="str">
        <f>Données!B48</f>
        <v>Dizy</v>
      </c>
      <c r="C48" s="249">
        <f>Données!C48</f>
        <v>239</v>
      </c>
      <c r="D48" s="246">
        <f>RFS!W48</f>
        <v>583319.01579569373</v>
      </c>
      <c r="E48" s="262"/>
      <c r="F48" s="268">
        <f t="shared" si="0"/>
        <v>2440.6653380572961</v>
      </c>
      <c r="G48" s="262">
        <f t="shared" si="1"/>
        <v>-987.72666609658927</v>
      </c>
      <c r="H48" s="269">
        <f t="shared" si="2"/>
        <v>-188853.33855766786</v>
      </c>
      <c r="I48" s="241"/>
      <c r="J48" s="233">
        <f t="shared" si="6"/>
        <v>3230.8466709345671</v>
      </c>
      <c r="K48" s="262">
        <f t="shared" si="3"/>
        <v>0</v>
      </c>
      <c r="L48" s="269">
        <f t="shared" si="7"/>
        <v>0</v>
      </c>
      <c r="M48" s="262"/>
      <c r="N48" s="271">
        <f>Données!S48</f>
        <v>8910</v>
      </c>
      <c r="O48" s="271">
        <f>Données!T48</f>
        <v>0</v>
      </c>
      <c r="P48" s="271">
        <f>Données!U48</f>
        <v>16779.3</v>
      </c>
      <c r="Q48" s="246">
        <f>Données!V48</f>
        <v>0</v>
      </c>
      <c r="R48" s="233">
        <f t="shared" si="4"/>
        <v>12844.65</v>
      </c>
      <c r="S48" s="250">
        <f t="shared" si="5"/>
        <v>-47163.086594253124</v>
      </c>
      <c r="T48" s="251">
        <f t="shared" si="8"/>
        <v>-34318.436594253122</v>
      </c>
    </row>
    <row r="49" spans="1:20" x14ac:dyDescent="0.25">
      <c r="A49" s="108">
        <f>Données!A49</f>
        <v>5482</v>
      </c>
      <c r="B49" s="120" t="str">
        <f>Données!B49</f>
        <v>Eclépens</v>
      </c>
      <c r="C49" s="249">
        <f>Données!C49</f>
        <v>1202</v>
      </c>
      <c r="D49" s="246">
        <f>RFS!W49</f>
        <v>3288011.36805879</v>
      </c>
      <c r="E49" s="262"/>
      <c r="F49" s="268">
        <f t="shared" si="0"/>
        <v>2735.4503893999918</v>
      </c>
      <c r="G49" s="262">
        <f t="shared" si="1"/>
        <v>-692.94161475389365</v>
      </c>
      <c r="H49" s="269">
        <f t="shared" si="2"/>
        <v>-666332.65674734418</v>
      </c>
      <c r="I49" s="241"/>
      <c r="J49" s="233">
        <f t="shared" si="6"/>
        <v>3289.8036812031069</v>
      </c>
      <c r="K49" s="262">
        <f t="shared" si="3"/>
        <v>0</v>
      </c>
      <c r="L49" s="269">
        <f t="shared" si="7"/>
        <v>0</v>
      </c>
      <c r="M49" s="262"/>
      <c r="N49" s="271">
        <f>Données!S49</f>
        <v>64779</v>
      </c>
      <c r="O49" s="271">
        <f>Données!T49</f>
        <v>0</v>
      </c>
      <c r="P49" s="271">
        <f>Données!U49</f>
        <v>45562.65</v>
      </c>
      <c r="Q49" s="246">
        <f>Données!V49</f>
        <v>776281.05</v>
      </c>
      <c r="R49" s="233">
        <f t="shared" si="4"/>
        <v>288055.14</v>
      </c>
      <c r="S49" s="250">
        <f t="shared" si="5"/>
        <v>-237196.77860373328</v>
      </c>
      <c r="T49" s="251">
        <f t="shared" si="8"/>
        <v>50858.36139626673</v>
      </c>
    </row>
    <row r="50" spans="1:20" x14ac:dyDescent="0.25">
      <c r="A50" s="108">
        <f>Données!A50</f>
        <v>5483</v>
      </c>
      <c r="B50" s="120" t="str">
        <f>Données!B50</f>
        <v>Ferreyres</v>
      </c>
      <c r="C50" s="249">
        <f>Données!C50</f>
        <v>308</v>
      </c>
      <c r="D50" s="246">
        <f>RFS!W50</f>
        <v>687809.24920034839</v>
      </c>
      <c r="E50" s="262"/>
      <c r="F50" s="268">
        <f t="shared" si="0"/>
        <v>2233.1469129881443</v>
      </c>
      <c r="G50" s="262">
        <f t="shared" si="1"/>
        <v>-1195.2450911657411</v>
      </c>
      <c r="H50" s="269">
        <f t="shared" si="2"/>
        <v>-294508.39046323858</v>
      </c>
      <c r="I50" s="241"/>
      <c r="J50" s="233">
        <f t="shared" si="6"/>
        <v>3189.3429859207367</v>
      </c>
      <c r="K50" s="262">
        <f t="shared" si="3"/>
        <v>0</v>
      </c>
      <c r="L50" s="269">
        <f t="shared" si="7"/>
        <v>0</v>
      </c>
      <c r="M50" s="262"/>
      <c r="N50" s="271">
        <f>Données!S50</f>
        <v>28658.65</v>
      </c>
      <c r="O50" s="271">
        <f>Données!T50</f>
        <v>0</v>
      </c>
      <c r="P50" s="271">
        <f>Données!U50</f>
        <v>24852.5</v>
      </c>
      <c r="Q50" s="246">
        <f>Données!V50</f>
        <v>569</v>
      </c>
      <c r="R50" s="233">
        <f t="shared" si="4"/>
        <v>26926.275000000001</v>
      </c>
      <c r="S50" s="250">
        <f t="shared" si="5"/>
        <v>-60779.207828577251</v>
      </c>
      <c r="T50" s="251">
        <f t="shared" si="8"/>
        <v>-33852.93282857725</v>
      </c>
    </row>
    <row r="51" spans="1:20" x14ac:dyDescent="0.25">
      <c r="A51" s="108">
        <f>Données!A51</f>
        <v>5484</v>
      </c>
      <c r="B51" s="120" t="str">
        <f>Données!B51</f>
        <v>Gollion</v>
      </c>
      <c r="C51" s="249">
        <f>Données!C51</f>
        <v>1091</v>
      </c>
      <c r="D51" s="246">
        <f>RFS!W51</f>
        <v>2286581.8729620967</v>
      </c>
      <c r="E51" s="262"/>
      <c r="F51" s="268">
        <f t="shared" si="0"/>
        <v>2095.8587286545339</v>
      </c>
      <c r="G51" s="262">
        <f t="shared" si="1"/>
        <v>-1332.5332754993515</v>
      </c>
      <c r="H51" s="269">
        <f t="shared" si="2"/>
        <v>-1163035.0428558341</v>
      </c>
      <c r="I51" s="241"/>
      <c r="J51" s="233">
        <f t="shared" si="6"/>
        <v>3161.8853490540155</v>
      </c>
      <c r="K51" s="262">
        <f t="shared" si="3"/>
        <v>0</v>
      </c>
      <c r="L51" s="269">
        <f t="shared" si="7"/>
        <v>0</v>
      </c>
      <c r="M51" s="262"/>
      <c r="N51" s="271">
        <f>Données!S51</f>
        <v>228333.9</v>
      </c>
      <c r="O51" s="271">
        <f>Données!T51</f>
        <v>23484</v>
      </c>
      <c r="P51" s="271">
        <f>Données!U51</f>
        <v>236046.2</v>
      </c>
      <c r="Q51" s="246">
        <f>Données!V51</f>
        <v>42469.55</v>
      </c>
      <c r="R51" s="233">
        <f t="shared" si="4"/>
        <v>256672.91499999998</v>
      </c>
      <c r="S51" s="250">
        <f t="shared" si="5"/>
        <v>-215292.58357460317</v>
      </c>
      <c r="T51" s="251">
        <f t="shared" si="8"/>
        <v>41380.331425396813</v>
      </c>
    </row>
    <row r="52" spans="1:20" x14ac:dyDescent="0.25">
      <c r="A52" s="108">
        <f>Données!A52</f>
        <v>5485</v>
      </c>
      <c r="B52" s="120" t="str">
        <f>Données!B52</f>
        <v>Grancy</v>
      </c>
      <c r="C52" s="249">
        <f>Données!C52</f>
        <v>541</v>
      </c>
      <c r="D52" s="246">
        <f>RFS!W52</f>
        <v>1645157.9319113253</v>
      </c>
      <c r="E52" s="262"/>
      <c r="F52" s="268">
        <f t="shared" si="0"/>
        <v>3040.9573602797141</v>
      </c>
      <c r="G52" s="262">
        <f t="shared" si="1"/>
        <v>-387.43464387417134</v>
      </c>
      <c r="H52" s="269">
        <f t="shared" si="2"/>
        <v>-167681.71386874135</v>
      </c>
      <c r="I52" s="241"/>
      <c r="J52" s="233">
        <f t="shared" si="6"/>
        <v>3350.9050753790511</v>
      </c>
      <c r="K52" s="262">
        <f t="shared" si="3"/>
        <v>0</v>
      </c>
      <c r="L52" s="269">
        <f t="shared" si="7"/>
        <v>0</v>
      </c>
      <c r="M52" s="262"/>
      <c r="N52" s="271">
        <f>Données!S52</f>
        <v>65794.3</v>
      </c>
      <c r="O52" s="271">
        <f>Données!T52</f>
        <v>4930.8999999999996</v>
      </c>
      <c r="P52" s="271">
        <f>Données!U52</f>
        <v>96394.8</v>
      </c>
      <c r="Q52" s="246">
        <f>Données!V52</f>
        <v>8593.2000000000007</v>
      </c>
      <c r="R52" s="233">
        <f t="shared" si="4"/>
        <v>86137.96</v>
      </c>
      <c r="S52" s="250">
        <f t="shared" si="5"/>
        <v>-106758.28388071523</v>
      </c>
      <c r="T52" s="251">
        <f t="shared" si="8"/>
        <v>-20620.323880715223</v>
      </c>
    </row>
    <row r="53" spans="1:20" x14ac:dyDescent="0.25">
      <c r="A53" s="108">
        <f>Données!A53</f>
        <v>5486</v>
      </c>
      <c r="B53" s="120" t="str">
        <f>Données!B53</f>
        <v>L'Isle</v>
      </c>
      <c r="C53" s="249">
        <f>Données!C53</f>
        <v>1106</v>
      </c>
      <c r="D53" s="246">
        <f>RFS!W53</f>
        <v>2485508.574967524</v>
      </c>
      <c r="E53" s="262"/>
      <c r="F53" s="268">
        <f t="shared" si="0"/>
        <v>2247.2952757391718</v>
      </c>
      <c r="G53" s="262">
        <f t="shared" si="1"/>
        <v>-1181.0967284147137</v>
      </c>
      <c r="H53" s="269">
        <f t="shared" si="2"/>
        <v>-1045034.3853013386</v>
      </c>
      <c r="I53" s="241"/>
      <c r="J53" s="233">
        <f t="shared" si="6"/>
        <v>3192.1726584709427</v>
      </c>
      <c r="K53" s="262">
        <f t="shared" si="3"/>
        <v>0</v>
      </c>
      <c r="L53" s="269">
        <f t="shared" si="7"/>
        <v>0</v>
      </c>
      <c r="M53" s="262"/>
      <c r="N53" s="271">
        <f>Données!S53</f>
        <v>145238.20000000001</v>
      </c>
      <c r="O53" s="271">
        <f>Données!T53</f>
        <v>7565.9</v>
      </c>
      <c r="P53" s="271">
        <f>Données!U53</f>
        <v>138350.70000000001</v>
      </c>
      <c r="Q53" s="246">
        <f>Données!V53</f>
        <v>50596.6</v>
      </c>
      <c r="R53" s="233">
        <f t="shared" si="4"/>
        <v>160756.38000000003</v>
      </c>
      <c r="S53" s="250">
        <f t="shared" si="5"/>
        <v>-218252.60992989104</v>
      </c>
      <c r="T53" s="251">
        <f t="shared" si="8"/>
        <v>-57496.229929891007</v>
      </c>
    </row>
    <row r="54" spans="1:20" x14ac:dyDescent="0.25">
      <c r="A54" s="108">
        <f>Données!A54</f>
        <v>5487</v>
      </c>
      <c r="B54" s="120" t="str">
        <f>Données!B54</f>
        <v>Lussery-Villars</v>
      </c>
      <c r="C54" s="249">
        <f>Données!C54</f>
        <v>469</v>
      </c>
      <c r="D54" s="246">
        <f>RFS!W54</f>
        <v>1098634.4352222874</v>
      </c>
      <c r="E54" s="262"/>
      <c r="F54" s="268">
        <f t="shared" si="0"/>
        <v>2342.504126273534</v>
      </c>
      <c r="G54" s="262">
        <f t="shared" si="1"/>
        <v>-1085.8878778803514</v>
      </c>
      <c r="H54" s="269">
        <f t="shared" si="2"/>
        <v>-407425.13178070786</v>
      </c>
      <c r="I54" s="241"/>
      <c r="J54" s="233">
        <f t="shared" si="6"/>
        <v>3211.2144285778154</v>
      </c>
      <c r="K54" s="262">
        <f t="shared" si="3"/>
        <v>0</v>
      </c>
      <c r="L54" s="269">
        <f t="shared" si="7"/>
        <v>0</v>
      </c>
      <c r="M54" s="262"/>
      <c r="N54" s="271">
        <f>Données!S54</f>
        <v>90974.2</v>
      </c>
      <c r="O54" s="271">
        <f>Données!T54</f>
        <v>0</v>
      </c>
      <c r="P54" s="271">
        <f>Données!U54</f>
        <v>110045.7</v>
      </c>
      <c r="Q54" s="246">
        <f>Données!V54</f>
        <v>0</v>
      </c>
      <c r="R54" s="233">
        <f t="shared" si="4"/>
        <v>100509.95</v>
      </c>
      <c r="S54" s="250">
        <f t="shared" si="5"/>
        <v>-92550.15737533354</v>
      </c>
      <c r="T54" s="251">
        <f t="shared" si="8"/>
        <v>7959.7926246664574</v>
      </c>
    </row>
    <row r="55" spans="1:20" x14ac:dyDescent="0.25">
      <c r="A55" s="108">
        <f>Données!A55</f>
        <v>5488</v>
      </c>
      <c r="B55" s="120" t="str">
        <f>Données!B55</f>
        <v>Mauraz</v>
      </c>
      <c r="C55" s="249">
        <f>Données!C55</f>
        <v>74</v>
      </c>
      <c r="D55" s="246">
        <f>RFS!W55</f>
        <v>142206.58305975856</v>
      </c>
      <c r="E55" s="262"/>
      <c r="F55" s="268">
        <f t="shared" si="0"/>
        <v>1921.7105818886291</v>
      </c>
      <c r="G55" s="262">
        <f t="shared" si="1"/>
        <v>-1506.6814222652563</v>
      </c>
      <c r="H55" s="269">
        <f t="shared" si="2"/>
        <v>-89195.540198103175</v>
      </c>
      <c r="I55" s="241"/>
      <c r="J55" s="233">
        <f t="shared" si="6"/>
        <v>3127.0557197008343</v>
      </c>
      <c r="K55" s="262">
        <f t="shared" si="3"/>
        <v>0</v>
      </c>
      <c r="L55" s="269">
        <f t="shared" si="7"/>
        <v>0</v>
      </c>
      <c r="M55" s="262"/>
      <c r="N55" s="271">
        <f>Données!S55</f>
        <v>0</v>
      </c>
      <c r="O55" s="271">
        <f>Données!T55</f>
        <v>0</v>
      </c>
      <c r="P55" s="271">
        <f>Données!U55</f>
        <v>0</v>
      </c>
      <c r="Q55" s="246">
        <f>Données!V55</f>
        <v>0</v>
      </c>
      <c r="R55" s="233">
        <f t="shared" si="4"/>
        <v>0</v>
      </c>
      <c r="S55" s="250">
        <f t="shared" si="5"/>
        <v>-14602.796686086742</v>
      </c>
      <c r="T55" s="251">
        <f t="shared" si="8"/>
        <v>-14602.796686086742</v>
      </c>
    </row>
    <row r="56" spans="1:20" x14ac:dyDescent="0.25">
      <c r="A56" s="108">
        <f>Données!A56</f>
        <v>5489</v>
      </c>
      <c r="B56" s="120" t="str">
        <f>Données!B56</f>
        <v>Mex</v>
      </c>
      <c r="C56" s="249">
        <f>Données!C56</f>
        <v>828</v>
      </c>
      <c r="D56" s="246">
        <f>RFS!W56</f>
        <v>5668092.2778458297</v>
      </c>
      <c r="E56" s="262"/>
      <c r="F56" s="268">
        <f t="shared" si="0"/>
        <v>6845.5220746930308</v>
      </c>
      <c r="G56" s="262">
        <f t="shared" si="1"/>
        <v>3417.1300705391454</v>
      </c>
      <c r="H56" s="269">
        <f t="shared" si="2"/>
        <v>2263506.9587251302</v>
      </c>
      <c r="I56" s="241"/>
      <c r="J56" s="233">
        <f t="shared" si="6"/>
        <v>4111.8180182617143</v>
      </c>
      <c r="K56" s="262">
        <f t="shared" si="3"/>
        <v>0</v>
      </c>
      <c r="L56" s="269">
        <f t="shared" si="7"/>
        <v>0</v>
      </c>
      <c r="M56" s="262"/>
      <c r="N56" s="271">
        <f>Données!S56</f>
        <v>45485</v>
      </c>
      <c r="O56" s="271">
        <f>Données!T56</f>
        <v>0</v>
      </c>
      <c r="P56" s="271">
        <f>Données!U56</f>
        <v>84296.75</v>
      </c>
      <c r="Q56" s="246">
        <f>Données!V56</f>
        <v>263408.09999999998</v>
      </c>
      <c r="R56" s="233">
        <f t="shared" si="4"/>
        <v>143913.30499999999</v>
      </c>
      <c r="S56" s="250">
        <f t="shared" si="5"/>
        <v>-163393.45481188947</v>
      </c>
      <c r="T56" s="251">
        <f t="shared" si="8"/>
        <v>-19480.149811889481</v>
      </c>
    </row>
    <row r="57" spans="1:20" x14ac:dyDescent="0.25">
      <c r="A57" s="108">
        <f>Données!A57</f>
        <v>5490</v>
      </c>
      <c r="B57" s="120" t="str">
        <f>Données!B57</f>
        <v>Moiry</v>
      </c>
      <c r="C57" s="249">
        <f>Données!C57</f>
        <v>295</v>
      </c>
      <c r="D57" s="246">
        <f>RFS!W57</f>
        <v>555789.45513928623</v>
      </c>
      <c r="E57" s="262"/>
      <c r="F57" s="268">
        <f t="shared" si="0"/>
        <v>1884.0320513196143</v>
      </c>
      <c r="G57" s="262">
        <f t="shared" si="1"/>
        <v>-1544.3599528342711</v>
      </c>
      <c r="H57" s="269">
        <f t="shared" si="2"/>
        <v>-364468.94886888802</v>
      </c>
      <c r="I57" s="241"/>
      <c r="J57" s="233">
        <f t="shared" si="6"/>
        <v>3119.5200135870314</v>
      </c>
      <c r="K57" s="262">
        <f t="shared" si="3"/>
        <v>0</v>
      </c>
      <c r="L57" s="269">
        <f t="shared" si="7"/>
        <v>0</v>
      </c>
      <c r="M57" s="262"/>
      <c r="N57" s="271">
        <f>Données!S57</f>
        <v>15878.55</v>
      </c>
      <c r="O57" s="271">
        <f>Données!T57</f>
        <v>0</v>
      </c>
      <c r="P57" s="271">
        <f>Données!U57</f>
        <v>7044.8</v>
      </c>
      <c r="Q57" s="246">
        <f>Données!V57</f>
        <v>0</v>
      </c>
      <c r="R57" s="233">
        <f t="shared" si="4"/>
        <v>11461.674999999999</v>
      </c>
      <c r="S57" s="250">
        <f t="shared" si="5"/>
        <v>-58213.851653994447</v>
      </c>
      <c r="T57" s="251">
        <f t="shared" si="8"/>
        <v>-46752.176653994451</v>
      </c>
    </row>
    <row r="58" spans="1:20" x14ac:dyDescent="0.25">
      <c r="A58" s="108">
        <f>Données!A58</f>
        <v>5491</v>
      </c>
      <c r="B58" s="120" t="str">
        <f>Données!B58</f>
        <v>Mont-la-Ville</v>
      </c>
      <c r="C58" s="249">
        <f>Données!C58</f>
        <v>504</v>
      </c>
      <c r="D58" s="246">
        <f>RFS!W58</f>
        <v>740544.99677620002</v>
      </c>
      <c r="E58" s="262"/>
      <c r="F58" s="268">
        <f t="shared" si="0"/>
        <v>1469.3353110638889</v>
      </c>
      <c r="G58" s="262">
        <f t="shared" si="1"/>
        <v>-1959.0566930899965</v>
      </c>
      <c r="H58" s="269">
        <f t="shared" si="2"/>
        <v>-789891.65865388676</v>
      </c>
      <c r="I58" s="241"/>
      <c r="J58" s="233">
        <f t="shared" si="6"/>
        <v>3036.5806655358865</v>
      </c>
      <c r="K58" s="262">
        <f t="shared" si="3"/>
        <v>-48.972138202610495</v>
      </c>
      <c r="L58" s="269">
        <f t="shared" si="7"/>
        <v>-24682</v>
      </c>
      <c r="M58" s="262"/>
      <c r="N58" s="271">
        <f>Données!S58</f>
        <v>24357.8</v>
      </c>
      <c r="O58" s="271">
        <f>Données!T58</f>
        <v>53004.3</v>
      </c>
      <c r="P58" s="271">
        <f>Données!U58</f>
        <v>33959.599999999999</v>
      </c>
      <c r="Q58" s="246">
        <f>Données!V58</f>
        <v>0</v>
      </c>
      <c r="R58" s="233">
        <f t="shared" si="4"/>
        <v>55660.850000000006</v>
      </c>
      <c r="S58" s="250">
        <f t="shared" si="5"/>
        <v>-99456.885537671857</v>
      </c>
      <c r="T58" s="251">
        <f t="shared" si="8"/>
        <v>-43796.035537671851</v>
      </c>
    </row>
    <row r="59" spans="1:20" x14ac:dyDescent="0.25">
      <c r="A59" s="108">
        <f>Données!A59</f>
        <v>5492</v>
      </c>
      <c r="B59" s="120" t="str">
        <f>Données!B59</f>
        <v>Montricher</v>
      </c>
      <c r="C59" s="249">
        <f>Données!C59</f>
        <v>947</v>
      </c>
      <c r="D59" s="246">
        <f>RFS!W59</f>
        <v>12491584.272875041</v>
      </c>
      <c r="E59" s="262"/>
      <c r="F59" s="268">
        <f t="shared" si="0"/>
        <v>13190.690890047561</v>
      </c>
      <c r="G59" s="262">
        <f t="shared" si="1"/>
        <v>9762.2988858936751</v>
      </c>
      <c r="H59" s="269">
        <f t="shared" si="2"/>
        <v>7395917.6359530482</v>
      </c>
      <c r="I59" s="241"/>
      <c r="J59" s="233">
        <f t="shared" si="6"/>
        <v>5380.8517813326216</v>
      </c>
      <c r="K59" s="262">
        <f t="shared" si="3"/>
        <v>0</v>
      </c>
      <c r="L59" s="269">
        <f t="shared" si="7"/>
        <v>0</v>
      </c>
      <c r="M59" s="262"/>
      <c r="N59" s="271">
        <f>Données!S59</f>
        <v>125859.95</v>
      </c>
      <c r="O59" s="271">
        <f>Données!T59</f>
        <v>99050</v>
      </c>
      <c r="P59" s="271">
        <f>Données!U59</f>
        <v>65762</v>
      </c>
      <c r="Q59" s="246">
        <f>Données!V59</f>
        <v>7027.85</v>
      </c>
      <c r="R59" s="233">
        <f t="shared" si="4"/>
        <v>147444.33000000002</v>
      </c>
      <c r="S59" s="250">
        <f t="shared" si="5"/>
        <v>-186876.33056383979</v>
      </c>
      <c r="T59" s="251">
        <f t="shared" si="8"/>
        <v>-39432.000563839771</v>
      </c>
    </row>
    <row r="60" spans="1:20" x14ac:dyDescent="0.25">
      <c r="A60" s="108">
        <f>Données!A60</f>
        <v>5493</v>
      </c>
      <c r="B60" s="120" t="str">
        <f>Données!B60</f>
        <v>Orny</v>
      </c>
      <c r="C60" s="249">
        <f>Données!C60</f>
        <v>525</v>
      </c>
      <c r="D60" s="246">
        <f>RFS!W60</f>
        <v>1126543.2517498084</v>
      </c>
      <c r="E60" s="262"/>
      <c r="F60" s="268">
        <f t="shared" si="0"/>
        <v>2145.796669999635</v>
      </c>
      <c r="G60" s="262">
        <f t="shared" si="1"/>
        <v>-1282.5953341542504</v>
      </c>
      <c r="H60" s="269">
        <f t="shared" si="2"/>
        <v>-538690.0403447852</v>
      </c>
      <c r="I60" s="241"/>
      <c r="J60" s="233">
        <f t="shared" si="6"/>
        <v>3171.8729373230353</v>
      </c>
      <c r="K60" s="262">
        <f t="shared" si="3"/>
        <v>0</v>
      </c>
      <c r="L60" s="269">
        <f t="shared" si="7"/>
        <v>0</v>
      </c>
      <c r="M60" s="262"/>
      <c r="N60" s="271">
        <f>Données!S60</f>
        <v>53539.25</v>
      </c>
      <c r="O60" s="271">
        <f>Données!T60</f>
        <v>47045.8</v>
      </c>
      <c r="P60" s="271">
        <f>Données!U60</f>
        <v>60198</v>
      </c>
      <c r="Q60" s="246">
        <f>Données!V60</f>
        <v>55584.85</v>
      </c>
      <c r="R60" s="233">
        <f t="shared" si="4"/>
        <v>97066.98</v>
      </c>
      <c r="S60" s="250">
        <f t="shared" si="5"/>
        <v>-103600.92243507486</v>
      </c>
      <c r="T60" s="251">
        <f t="shared" si="8"/>
        <v>-6533.9424350748595</v>
      </c>
    </row>
    <row r="61" spans="1:20" x14ac:dyDescent="0.25">
      <c r="A61" s="108">
        <f>Données!A61</f>
        <v>5495</v>
      </c>
      <c r="B61" s="120" t="str">
        <f>Données!B61</f>
        <v>Penthalaz</v>
      </c>
      <c r="C61" s="249">
        <f>Données!C61</f>
        <v>3199</v>
      </c>
      <c r="D61" s="246">
        <f>RFS!W61</f>
        <v>6381980.3594277343</v>
      </c>
      <c r="E61" s="262"/>
      <c r="F61" s="268">
        <f t="shared" si="0"/>
        <v>1994.9922974141089</v>
      </c>
      <c r="G61" s="262">
        <f t="shared" si="1"/>
        <v>-1433.3997067397765</v>
      </c>
      <c r="H61" s="269">
        <f t="shared" si="2"/>
        <v>-3668356.5294884364</v>
      </c>
      <c r="I61" s="241"/>
      <c r="J61" s="233">
        <f t="shared" si="6"/>
        <v>3141.7120628059301</v>
      </c>
      <c r="K61" s="262">
        <f t="shared" si="3"/>
        <v>0</v>
      </c>
      <c r="L61" s="269">
        <f t="shared" si="7"/>
        <v>0</v>
      </c>
      <c r="M61" s="262"/>
      <c r="N61" s="271">
        <f>Données!S61</f>
        <v>245062.3</v>
      </c>
      <c r="O61" s="271">
        <f>Données!T61</f>
        <v>138869.29999999999</v>
      </c>
      <c r="P61" s="271">
        <f>Données!U61</f>
        <v>217812.95</v>
      </c>
      <c r="Q61" s="246">
        <f>Données!V61</f>
        <v>409229.2</v>
      </c>
      <c r="R61" s="233">
        <f t="shared" si="4"/>
        <v>423641.03500000003</v>
      </c>
      <c r="S61" s="250">
        <f t="shared" si="5"/>
        <v>-631274.95403772278</v>
      </c>
      <c r="T61" s="251">
        <f t="shared" si="8"/>
        <v>-207633.91903772275</v>
      </c>
    </row>
    <row r="62" spans="1:20" x14ac:dyDescent="0.25">
      <c r="A62" s="108">
        <f>Données!A62</f>
        <v>5496</v>
      </c>
      <c r="B62" s="120" t="str">
        <f>Données!B62</f>
        <v>Penthaz</v>
      </c>
      <c r="C62" s="249">
        <f>Données!C62</f>
        <v>1910</v>
      </c>
      <c r="D62" s="246">
        <f>RFS!W62</f>
        <v>4300311.118356118</v>
      </c>
      <c r="E62" s="262"/>
      <c r="F62" s="268">
        <f t="shared" si="0"/>
        <v>2251.471789715245</v>
      </c>
      <c r="G62" s="262">
        <f t="shared" si="1"/>
        <v>-1176.9202144386404</v>
      </c>
      <c r="H62" s="269">
        <f t="shared" si="2"/>
        <v>-1798334.0876622426</v>
      </c>
      <c r="I62" s="241"/>
      <c r="J62" s="233">
        <f t="shared" si="6"/>
        <v>3193.0079612661571</v>
      </c>
      <c r="K62" s="262">
        <f t="shared" si="3"/>
        <v>0</v>
      </c>
      <c r="L62" s="269">
        <f t="shared" si="7"/>
        <v>0</v>
      </c>
      <c r="M62" s="262"/>
      <c r="N62" s="271">
        <f>Données!S62</f>
        <v>138263.04999999999</v>
      </c>
      <c r="O62" s="271">
        <f>Données!T62</f>
        <v>20858.5</v>
      </c>
      <c r="P62" s="271">
        <f>Données!U62</f>
        <v>137511.79999999999</v>
      </c>
      <c r="Q62" s="246">
        <f>Données!V62</f>
        <v>109361.05</v>
      </c>
      <c r="R62" s="233">
        <f t="shared" si="4"/>
        <v>181124.99</v>
      </c>
      <c r="S62" s="250">
        <f t="shared" si="5"/>
        <v>-376910.02257331996</v>
      </c>
      <c r="T62" s="251">
        <f t="shared" si="8"/>
        <v>-195785.03257331997</v>
      </c>
    </row>
    <row r="63" spans="1:20" x14ac:dyDescent="0.25">
      <c r="A63" s="108">
        <f>Données!A63</f>
        <v>5497</v>
      </c>
      <c r="B63" s="120" t="str">
        <f>Données!B63</f>
        <v>Pompaples</v>
      </c>
      <c r="C63" s="249">
        <f>Données!C63</f>
        <v>917</v>
      </c>
      <c r="D63" s="246">
        <f>RFS!W63</f>
        <v>1699364.2058006164</v>
      </c>
      <c r="E63" s="262"/>
      <c r="F63" s="268">
        <f t="shared" si="0"/>
        <v>1853.1779779723188</v>
      </c>
      <c r="G63" s="262">
        <f t="shared" si="1"/>
        <v>-1575.2140261815666</v>
      </c>
      <c r="H63" s="269">
        <f t="shared" si="2"/>
        <v>-1155577.0096067975</v>
      </c>
      <c r="I63" s="241"/>
      <c r="J63" s="233">
        <f t="shared" si="6"/>
        <v>3113.3491989175723</v>
      </c>
      <c r="K63" s="262">
        <f t="shared" si="3"/>
        <v>0</v>
      </c>
      <c r="L63" s="269">
        <f t="shared" si="7"/>
        <v>0</v>
      </c>
      <c r="M63" s="262"/>
      <c r="N63" s="271">
        <f>Données!S63</f>
        <v>72985</v>
      </c>
      <c r="O63" s="271">
        <f>Données!T63</f>
        <v>12639.6</v>
      </c>
      <c r="P63" s="271">
        <f>Données!U63</f>
        <v>16364.55</v>
      </c>
      <c r="Q63" s="246">
        <f>Données!V63</f>
        <v>249648.55</v>
      </c>
      <c r="R63" s="233">
        <f t="shared" si="4"/>
        <v>125889.13999999998</v>
      </c>
      <c r="S63" s="250">
        <f t="shared" si="5"/>
        <v>-180956.2778532641</v>
      </c>
      <c r="T63" s="251">
        <f t="shared" si="8"/>
        <v>-55067.13785326411</v>
      </c>
    </row>
    <row r="64" spans="1:20" x14ac:dyDescent="0.25">
      <c r="A64" s="108">
        <f>Données!A64</f>
        <v>5498</v>
      </c>
      <c r="B64" s="120" t="str">
        <f>Données!B64</f>
        <v>La Sarraz</v>
      </c>
      <c r="C64" s="249">
        <f>Données!C64</f>
        <v>2609</v>
      </c>
      <c r="D64" s="246">
        <f>RFS!W64</f>
        <v>5189678.814962483</v>
      </c>
      <c r="E64" s="262"/>
      <c r="F64" s="268">
        <f t="shared" si="0"/>
        <v>1989.1448121741983</v>
      </c>
      <c r="G64" s="262">
        <f t="shared" si="1"/>
        <v>-1439.2471919796872</v>
      </c>
      <c r="H64" s="269">
        <f t="shared" si="2"/>
        <v>-3003996.7391000031</v>
      </c>
      <c r="I64" s="241"/>
      <c r="J64" s="233">
        <f t="shared" si="6"/>
        <v>3140.5425657579476</v>
      </c>
      <c r="K64" s="262">
        <f t="shared" si="3"/>
        <v>0</v>
      </c>
      <c r="L64" s="269">
        <f t="shared" si="7"/>
        <v>0</v>
      </c>
      <c r="M64" s="262"/>
      <c r="N64" s="271">
        <f>Données!S64</f>
        <v>175175</v>
      </c>
      <c r="O64" s="271">
        <f>Données!T64</f>
        <v>10196.799999999999</v>
      </c>
      <c r="P64" s="271">
        <f>Données!U64</f>
        <v>146701.6</v>
      </c>
      <c r="Q64" s="246">
        <f>Données!V64</f>
        <v>111167.3</v>
      </c>
      <c r="R64" s="233">
        <f t="shared" si="4"/>
        <v>199386.89</v>
      </c>
      <c r="S64" s="250">
        <f t="shared" si="5"/>
        <v>-514847.2507297339</v>
      </c>
      <c r="T64" s="251">
        <f t="shared" si="8"/>
        <v>-315460.36072973389</v>
      </c>
    </row>
    <row r="65" spans="1:20" x14ac:dyDescent="0.25">
      <c r="A65" s="108">
        <f>Données!A65</f>
        <v>5499</v>
      </c>
      <c r="B65" s="120" t="str">
        <f>Données!B65</f>
        <v>Senarclens</v>
      </c>
      <c r="C65" s="249">
        <f>Données!C65</f>
        <v>505</v>
      </c>
      <c r="D65" s="246">
        <f>RFS!W65</f>
        <v>1497931.4731421967</v>
      </c>
      <c r="E65" s="262"/>
      <c r="F65" s="268">
        <f t="shared" si="0"/>
        <v>2966.2009369152411</v>
      </c>
      <c r="G65" s="262">
        <f t="shared" si="1"/>
        <v>-462.19106723864434</v>
      </c>
      <c r="H65" s="269">
        <f t="shared" si="2"/>
        <v>-186725.19116441233</v>
      </c>
      <c r="I65" s="241"/>
      <c r="J65" s="233">
        <f t="shared" si="6"/>
        <v>3335.9537907061563</v>
      </c>
      <c r="K65" s="262">
        <f t="shared" si="3"/>
        <v>0</v>
      </c>
      <c r="L65" s="269">
        <f t="shared" si="7"/>
        <v>0</v>
      </c>
      <c r="M65" s="262"/>
      <c r="N65" s="271">
        <f>Données!S65</f>
        <v>80206</v>
      </c>
      <c r="O65" s="271">
        <f>Données!T65</f>
        <v>20476.200000000012</v>
      </c>
      <c r="P65" s="271">
        <f>Données!U65</f>
        <v>71311.850000000006</v>
      </c>
      <c r="Q65" s="246">
        <f>Données!V65</f>
        <v>27100.05</v>
      </c>
      <c r="R65" s="233">
        <f t="shared" si="4"/>
        <v>94127.040000000008</v>
      </c>
      <c r="S65" s="250">
        <f t="shared" si="5"/>
        <v>-99654.220628024384</v>
      </c>
      <c r="T65" s="251">
        <f t="shared" si="8"/>
        <v>-5527.1806280243763</v>
      </c>
    </row>
    <row r="66" spans="1:20" x14ac:dyDescent="0.25">
      <c r="A66" s="108">
        <f>Données!A66</f>
        <v>5501</v>
      </c>
      <c r="B66" s="120" t="str">
        <f>Données!B66</f>
        <v>Sullens</v>
      </c>
      <c r="C66" s="249">
        <f>Données!C66</f>
        <v>1282</v>
      </c>
      <c r="D66" s="246">
        <f>RFS!W66</f>
        <v>3889211.5536810723</v>
      </c>
      <c r="E66" s="262"/>
      <c r="F66" s="268">
        <f t="shared" si="0"/>
        <v>3033.7063601256414</v>
      </c>
      <c r="G66" s="262">
        <f t="shared" si="1"/>
        <v>-394.68564402824404</v>
      </c>
      <c r="H66" s="269">
        <f t="shared" si="2"/>
        <v>-404789.5965153671</v>
      </c>
      <c r="I66" s="241"/>
      <c r="J66" s="233">
        <f t="shared" si="6"/>
        <v>3349.4548753482368</v>
      </c>
      <c r="K66" s="262">
        <f t="shared" si="3"/>
        <v>0</v>
      </c>
      <c r="L66" s="269">
        <f t="shared" si="7"/>
        <v>0</v>
      </c>
      <c r="M66" s="262"/>
      <c r="N66" s="271">
        <f>Données!S66</f>
        <v>282313</v>
      </c>
      <c r="O66" s="271">
        <f>Données!T66</f>
        <v>28173.9</v>
      </c>
      <c r="P66" s="271">
        <f>Données!U66</f>
        <v>150747.75</v>
      </c>
      <c r="Q66" s="246">
        <f>Données!V66</f>
        <v>14116.75</v>
      </c>
      <c r="R66" s="233">
        <f t="shared" si="4"/>
        <v>234852.35</v>
      </c>
      <c r="S66" s="250">
        <f t="shared" si="5"/>
        <v>-252983.58583193517</v>
      </c>
      <c r="T66" s="251">
        <f t="shared" si="8"/>
        <v>-18131.235831935162</v>
      </c>
    </row>
    <row r="67" spans="1:20" x14ac:dyDescent="0.25">
      <c r="A67" s="108">
        <f>Données!A67</f>
        <v>5503</v>
      </c>
      <c r="B67" s="120" t="str">
        <f>Données!B67</f>
        <v>Vufflens-la-Ville</v>
      </c>
      <c r="C67" s="249">
        <f>Données!C67</f>
        <v>1327</v>
      </c>
      <c r="D67" s="246">
        <f>RFS!W67</f>
        <v>7749605.8615317848</v>
      </c>
      <c r="E67" s="262"/>
      <c r="F67" s="268">
        <f t="shared" si="0"/>
        <v>5839.9441307699963</v>
      </c>
      <c r="G67" s="262">
        <f t="shared" si="1"/>
        <v>2411.5521266161109</v>
      </c>
      <c r="H67" s="269">
        <f t="shared" si="2"/>
        <v>2560103.7376156636</v>
      </c>
      <c r="I67" s="241"/>
      <c r="J67" s="233">
        <f t="shared" si="6"/>
        <v>3910.7024294771072</v>
      </c>
      <c r="K67" s="262">
        <f t="shared" si="3"/>
        <v>0</v>
      </c>
      <c r="L67" s="269">
        <f t="shared" si="7"/>
        <v>0</v>
      </c>
      <c r="M67" s="262"/>
      <c r="N67" s="271">
        <f>Données!S67</f>
        <v>73849.899999999994</v>
      </c>
      <c r="O67" s="271">
        <f>Données!T67</f>
        <v>4645.5</v>
      </c>
      <c r="P67" s="271">
        <f>Données!U67</f>
        <v>69896</v>
      </c>
      <c r="Q67" s="246">
        <f>Données!V67</f>
        <v>333874.40000000002</v>
      </c>
      <c r="R67" s="233">
        <f t="shared" si="4"/>
        <v>174358.02000000002</v>
      </c>
      <c r="S67" s="250">
        <f t="shared" si="5"/>
        <v>-261863.66489779874</v>
      </c>
      <c r="T67" s="251">
        <f t="shared" si="8"/>
        <v>-87505.644897798717</v>
      </c>
    </row>
    <row r="68" spans="1:20" x14ac:dyDescent="0.25">
      <c r="A68" s="108">
        <f>Données!A68</f>
        <v>5511</v>
      </c>
      <c r="B68" s="120" t="str">
        <f>Données!B68</f>
        <v>Assens</v>
      </c>
      <c r="C68" s="249">
        <f>Données!C68</f>
        <v>1747</v>
      </c>
      <c r="D68" s="246">
        <f>RFS!W68</f>
        <v>5081006.3975477405</v>
      </c>
      <c r="E68" s="262"/>
      <c r="F68" s="268">
        <f t="shared" si="0"/>
        <v>2908.4180867474188</v>
      </c>
      <c r="G68" s="262">
        <f t="shared" si="1"/>
        <v>-519.97391740646663</v>
      </c>
      <c r="H68" s="269">
        <f t="shared" si="2"/>
        <v>-726715.54696727777</v>
      </c>
      <c r="I68" s="241"/>
      <c r="J68" s="233">
        <f t="shared" si="6"/>
        <v>3324.3972206725916</v>
      </c>
      <c r="K68" s="262">
        <f t="shared" si="3"/>
        <v>0</v>
      </c>
      <c r="L68" s="269">
        <f t="shared" si="7"/>
        <v>0</v>
      </c>
      <c r="M68" s="262"/>
      <c r="N68" s="271">
        <f>Données!S68</f>
        <v>117897</v>
      </c>
      <c r="O68" s="271">
        <f>Données!T68</f>
        <v>21018.400000000001</v>
      </c>
      <c r="P68" s="271">
        <f>Données!U68</f>
        <v>63121.1</v>
      </c>
      <c r="Q68" s="246">
        <f>Données!V68</f>
        <v>461159.8</v>
      </c>
      <c r="R68" s="233">
        <f t="shared" si="4"/>
        <v>239366.19</v>
      </c>
      <c r="S68" s="250">
        <f t="shared" si="5"/>
        <v>-344744.4028458586</v>
      </c>
      <c r="T68" s="251">
        <f t="shared" si="8"/>
        <v>-105378.21284585859</v>
      </c>
    </row>
    <row r="69" spans="1:20" x14ac:dyDescent="0.25">
      <c r="A69" s="108">
        <f>Données!A69</f>
        <v>5512</v>
      </c>
      <c r="B69" s="120" t="str">
        <f>Données!B69</f>
        <v>Bercher</v>
      </c>
      <c r="C69" s="249">
        <f>Données!C69</f>
        <v>1359</v>
      </c>
      <c r="D69" s="246">
        <f>RFS!W69</f>
        <v>2909352.1870919419</v>
      </c>
      <c r="E69" s="262"/>
      <c r="F69" s="268">
        <f t="shared" si="0"/>
        <v>2140.8036696776617</v>
      </c>
      <c r="G69" s="262">
        <f t="shared" si="1"/>
        <v>-1287.5883344762237</v>
      </c>
      <c r="H69" s="269">
        <f t="shared" si="2"/>
        <v>-1399866.0372425504</v>
      </c>
      <c r="I69" s="241"/>
      <c r="J69" s="233">
        <f t="shared" si="6"/>
        <v>3170.8743372586405</v>
      </c>
      <c r="K69" s="262">
        <f t="shared" si="3"/>
        <v>0</v>
      </c>
      <c r="L69" s="269">
        <f t="shared" si="7"/>
        <v>0</v>
      </c>
      <c r="M69" s="262"/>
      <c r="N69" s="271">
        <f>Données!S69</f>
        <v>184219.75</v>
      </c>
      <c r="O69" s="271">
        <f>Données!T69</f>
        <v>620.79999999999995</v>
      </c>
      <c r="P69" s="271">
        <f>Données!U69</f>
        <v>211187.55</v>
      </c>
      <c r="Q69" s="246">
        <f>Données!V69</f>
        <v>81237.350000000006</v>
      </c>
      <c r="R69" s="233">
        <f t="shared" si="4"/>
        <v>222385.255</v>
      </c>
      <c r="S69" s="250">
        <f t="shared" si="5"/>
        <v>-268178.38778907951</v>
      </c>
      <c r="T69" s="251">
        <f t="shared" si="8"/>
        <v>-45793.132789079507</v>
      </c>
    </row>
    <row r="70" spans="1:20" x14ac:dyDescent="0.25">
      <c r="A70" s="108">
        <f>Données!A70</f>
        <v>5514</v>
      </c>
      <c r="B70" s="120" t="str">
        <f>Données!B70</f>
        <v>Bottens</v>
      </c>
      <c r="C70" s="249">
        <f>Données!C70</f>
        <v>1389</v>
      </c>
      <c r="D70" s="246">
        <f>RFS!W70</f>
        <v>3148099.8359448519</v>
      </c>
      <c r="E70" s="262"/>
      <c r="F70" s="268">
        <f t="shared" ref="F70:F133" si="9">D70/C70</f>
        <v>2266.4505658350267</v>
      </c>
      <c r="G70" s="262">
        <f t="shared" si="1"/>
        <v>-1161.9414383188587</v>
      </c>
      <c r="H70" s="269">
        <f t="shared" ref="H70:H133" si="10">G70*$G$6*C70</f>
        <v>-1291149.3262599157</v>
      </c>
      <c r="I70" s="241"/>
      <c r="J70" s="233">
        <f t="shared" si="6"/>
        <v>3196.0037164901132</v>
      </c>
      <c r="K70" s="262">
        <f t="shared" ref="K70:K133" si="11">IF(J70&lt;$J$6,J70-($J$6),0)</f>
        <v>0</v>
      </c>
      <c r="L70" s="269">
        <f t="shared" si="7"/>
        <v>0</v>
      </c>
      <c r="M70" s="262"/>
      <c r="N70" s="271">
        <f>Données!S70</f>
        <v>111726.45</v>
      </c>
      <c r="O70" s="271">
        <f>Données!T70</f>
        <v>14695.1</v>
      </c>
      <c r="P70" s="271">
        <f>Données!U70</f>
        <v>81855.649999999994</v>
      </c>
      <c r="Q70" s="246">
        <f>Données!V70</f>
        <v>16838.75</v>
      </c>
      <c r="R70" s="233">
        <f t="shared" ref="R70:R133" si="12">SUMPRODUCT($N$6:$Q$6,N70:Q70)</f>
        <v>109190.22500000001</v>
      </c>
      <c r="S70" s="250">
        <f t="shared" si="5"/>
        <v>-274098.4404996552</v>
      </c>
      <c r="T70" s="251">
        <f t="shared" si="8"/>
        <v>-164908.2154996552</v>
      </c>
    </row>
    <row r="71" spans="1:20" x14ac:dyDescent="0.25">
      <c r="A71" s="108">
        <f>Données!A71</f>
        <v>5515</v>
      </c>
      <c r="B71" s="120" t="str">
        <f>Données!B71</f>
        <v>Bretigny-sur-Morrens</v>
      </c>
      <c r="C71" s="249">
        <f>Données!C71</f>
        <v>893</v>
      </c>
      <c r="D71" s="246">
        <f>RFS!W71</f>
        <v>2120506.3427082323</v>
      </c>
      <c r="E71" s="262"/>
      <c r="F71" s="268">
        <f t="shared" si="9"/>
        <v>2374.5871698860383</v>
      </c>
      <c r="G71" s="262">
        <f t="shared" si="1"/>
        <v>-1053.8048342678471</v>
      </c>
      <c r="H71" s="269">
        <f t="shared" si="10"/>
        <v>-752838.17360095005</v>
      </c>
      <c r="I71" s="241"/>
      <c r="J71" s="233">
        <f t="shared" ref="J71:J134" si="13">(D71-H71)/C71</f>
        <v>3217.6310373003162</v>
      </c>
      <c r="K71" s="262">
        <f t="shared" si="11"/>
        <v>0</v>
      </c>
      <c r="L71" s="269">
        <f t="shared" ref="L71:L134" si="14">ROUND(K71*C71,0)</f>
        <v>0</v>
      </c>
      <c r="M71" s="262"/>
      <c r="N71" s="271">
        <f>Données!S71</f>
        <v>44110</v>
      </c>
      <c r="O71" s="271">
        <f>Données!T71</f>
        <v>0</v>
      </c>
      <c r="P71" s="271">
        <f>Données!U71</f>
        <v>80017.149999999994</v>
      </c>
      <c r="Q71" s="246">
        <f>Données!V71</f>
        <v>31578.15</v>
      </c>
      <c r="R71" s="233">
        <f t="shared" si="12"/>
        <v>71537.01999999999</v>
      </c>
      <c r="S71" s="250">
        <f t="shared" si="5"/>
        <v>-176220.23568480351</v>
      </c>
      <c r="T71" s="251">
        <f t="shared" ref="T71:T134" si="15">R71+S71</f>
        <v>-104683.21568480352</v>
      </c>
    </row>
    <row r="72" spans="1:20" x14ac:dyDescent="0.25">
      <c r="A72" s="108">
        <f>Données!A72</f>
        <v>5516</v>
      </c>
      <c r="B72" s="120" t="str">
        <f>Données!B72</f>
        <v>Cugy</v>
      </c>
      <c r="C72" s="249">
        <f>Données!C72</f>
        <v>2824</v>
      </c>
      <c r="D72" s="246">
        <f>RFS!W72</f>
        <v>7571195.4661995256</v>
      </c>
      <c r="E72" s="262"/>
      <c r="F72" s="268">
        <f t="shared" si="9"/>
        <v>2681.0182245749029</v>
      </c>
      <c r="G72" s="262">
        <f t="shared" ref="G72:G135" si="16">F72-$F$302</f>
        <v>-747.37377957898252</v>
      </c>
      <c r="H72" s="269">
        <f t="shared" si="10"/>
        <v>-1688466.8428248374</v>
      </c>
      <c r="I72" s="241"/>
      <c r="J72" s="233">
        <f t="shared" si="13"/>
        <v>3278.9172482380891</v>
      </c>
      <c r="K72" s="262">
        <f t="shared" si="11"/>
        <v>0</v>
      </c>
      <c r="L72" s="269">
        <f t="shared" si="14"/>
        <v>0</v>
      </c>
      <c r="M72" s="262"/>
      <c r="N72" s="271">
        <f>Données!S72</f>
        <v>273364.2</v>
      </c>
      <c r="O72" s="271">
        <f>Données!T72</f>
        <v>10104.200000000001</v>
      </c>
      <c r="P72" s="271">
        <f>Données!U72</f>
        <v>260229.35</v>
      </c>
      <c r="Q72" s="246">
        <f>Données!V72</f>
        <v>115755.75</v>
      </c>
      <c r="R72" s="233">
        <f t="shared" si="12"/>
        <v>306575.59999999998</v>
      </c>
      <c r="S72" s="250">
        <f t="shared" ref="S72:S135" si="17">-($R$302-$S$6)/$C$302*C72</f>
        <v>-557274.29515552649</v>
      </c>
      <c r="T72" s="251">
        <f t="shared" si="15"/>
        <v>-250698.69515552651</v>
      </c>
    </row>
    <row r="73" spans="1:20" x14ac:dyDescent="0.25">
      <c r="A73" s="108">
        <f>Données!A73</f>
        <v>5518</v>
      </c>
      <c r="B73" s="120" t="str">
        <f>Données!B73</f>
        <v>Echallens</v>
      </c>
      <c r="C73" s="249">
        <f>Données!C73</f>
        <v>6816</v>
      </c>
      <c r="D73" s="246">
        <f>RFS!W73</f>
        <v>14093577.525516357</v>
      </c>
      <c r="E73" s="262"/>
      <c r="F73" s="268">
        <f t="shared" si="9"/>
        <v>2067.7197073820948</v>
      </c>
      <c r="G73" s="262">
        <f t="shared" si="16"/>
        <v>-1360.6722967717906</v>
      </c>
      <c r="H73" s="269">
        <f t="shared" si="10"/>
        <v>-7419473.8998372201</v>
      </c>
      <c r="I73" s="241"/>
      <c r="J73" s="233">
        <f t="shared" si="13"/>
        <v>3156.2575447995273</v>
      </c>
      <c r="K73" s="262">
        <f t="shared" si="11"/>
        <v>0</v>
      </c>
      <c r="L73" s="269">
        <f t="shared" si="14"/>
        <v>0</v>
      </c>
      <c r="M73" s="262"/>
      <c r="N73" s="271">
        <f>Données!S73</f>
        <v>610753.75</v>
      </c>
      <c r="O73" s="271">
        <f>Données!T73</f>
        <v>30429.4</v>
      </c>
      <c r="P73" s="271">
        <f>Données!U73</f>
        <v>461961.15</v>
      </c>
      <c r="Q73" s="246">
        <f>Données!V73</f>
        <v>350836.7</v>
      </c>
      <c r="R73" s="233">
        <f t="shared" si="12"/>
        <v>656823.16</v>
      </c>
      <c r="S73" s="250">
        <f t="shared" si="17"/>
        <v>-1345035.9758428005</v>
      </c>
      <c r="T73" s="251">
        <f t="shared" si="15"/>
        <v>-688212.81584280042</v>
      </c>
    </row>
    <row r="74" spans="1:20" x14ac:dyDescent="0.25">
      <c r="A74" s="108">
        <f>Données!A74</f>
        <v>5520</v>
      </c>
      <c r="B74" s="120" t="str">
        <f>Données!B74</f>
        <v>Essertines-sur-Yverdon</v>
      </c>
      <c r="C74" s="249">
        <f>Données!C74</f>
        <v>1183</v>
      </c>
      <c r="D74" s="246">
        <f>RFS!W74</f>
        <v>2538678.8246192518</v>
      </c>
      <c r="E74" s="262"/>
      <c r="F74" s="268">
        <f t="shared" si="9"/>
        <v>2145.9668847161893</v>
      </c>
      <c r="G74" s="262">
        <f t="shared" si="16"/>
        <v>-1282.4251194376961</v>
      </c>
      <c r="H74" s="269">
        <f t="shared" si="10"/>
        <v>-1213687.1330358356</v>
      </c>
      <c r="I74" s="241"/>
      <c r="J74" s="233">
        <f t="shared" si="13"/>
        <v>3171.9069802663457</v>
      </c>
      <c r="K74" s="262">
        <f t="shared" si="11"/>
        <v>0</v>
      </c>
      <c r="L74" s="269">
        <f t="shared" si="14"/>
        <v>0</v>
      </c>
      <c r="M74" s="262"/>
      <c r="N74" s="271">
        <f>Données!S74</f>
        <v>140377.1</v>
      </c>
      <c r="O74" s="271">
        <f>Données!T74</f>
        <v>12738.4</v>
      </c>
      <c r="P74" s="271">
        <f>Données!U74</f>
        <v>80895.899999999994</v>
      </c>
      <c r="Q74" s="246">
        <f>Données!V74</f>
        <v>16066.15</v>
      </c>
      <c r="R74" s="233">
        <f t="shared" si="12"/>
        <v>121825.545</v>
      </c>
      <c r="S74" s="250">
        <f t="shared" si="17"/>
        <v>-233447.41188703536</v>
      </c>
      <c r="T74" s="251">
        <f t="shared" si="15"/>
        <v>-111621.86688703536</v>
      </c>
    </row>
    <row r="75" spans="1:20" x14ac:dyDescent="0.25">
      <c r="A75" s="108">
        <f>Données!A75</f>
        <v>5521</v>
      </c>
      <c r="B75" s="120" t="str">
        <f>Données!B75</f>
        <v>Etagnières</v>
      </c>
      <c r="C75" s="249">
        <f>Données!C75</f>
        <v>1168</v>
      </c>
      <c r="D75" s="246">
        <f>RFS!W75</f>
        <v>2976926.6471838057</v>
      </c>
      <c r="E75" s="262"/>
      <c r="F75" s="268">
        <f t="shared" si="9"/>
        <v>2548.7385677943544</v>
      </c>
      <c r="G75" s="262">
        <f t="shared" si="16"/>
        <v>-879.65343635953104</v>
      </c>
      <c r="H75" s="269">
        <f t="shared" si="10"/>
        <v>-821948.17093434581</v>
      </c>
      <c r="I75" s="241"/>
      <c r="J75" s="233">
        <f t="shared" si="13"/>
        <v>3252.4613168819787</v>
      </c>
      <c r="K75" s="262">
        <f t="shared" si="11"/>
        <v>0</v>
      </c>
      <c r="L75" s="269">
        <f t="shared" si="14"/>
        <v>0</v>
      </c>
      <c r="M75" s="262"/>
      <c r="N75" s="271">
        <f>Données!S75</f>
        <v>66023.600000000006</v>
      </c>
      <c r="O75" s="271">
        <f>Données!T75</f>
        <v>0</v>
      </c>
      <c r="P75" s="271">
        <f>Données!U75</f>
        <v>33749.85</v>
      </c>
      <c r="Q75" s="246">
        <f>Données!V75</f>
        <v>117657.7</v>
      </c>
      <c r="R75" s="233">
        <f t="shared" si="12"/>
        <v>85184.035000000003</v>
      </c>
      <c r="S75" s="250">
        <f t="shared" si="17"/>
        <v>-230487.38553174748</v>
      </c>
      <c r="T75" s="251">
        <f t="shared" si="15"/>
        <v>-145303.35053174748</v>
      </c>
    </row>
    <row r="76" spans="1:20" x14ac:dyDescent="0.25">
      <c r="A76" s="108">
        <f>Données!A76</f>
        <v>5522</v>
      </c>
      <c r="B76" s="120" t="str">
        <f>Données!B76</f>
        <v>Fey</v>
      </c>
      <c r="C76" s="249">
        <f>Données!C76</f>
        <v>791</v>
      </c>
      <c r="D76" s="246">
        <f>RFS!W76</f>
        <v>1658290.2114519982</v>
      </c>
      <c r="E76" s="262"/>
      <c r="F76" s="268">
        <f t="shared" si="9"/>
        <v>2096.4478020884935</v>
      </c>
      <c r="G76" s="262">
        <f t="shared" si="16"/>
        <v>-1331.9442020653919</v>
      </c>
      <c r="H76" s="269">
        <f t="shared" si="10"/>
        <v>-842854.29106698011</v>
      </c>
      <c r="I76" s="241"/>
      <c r="J76" s="233">
        <f t="shared" si="13"/>
        <v>3162.0031637408069</v>
      </c>
      <c r="K76" s="262">
        <f t="shared" si="11"/>
        <v>0</v>
      </c>
      <c r="L76" s="269">
        <f t="shared" si="14"/>
        <v>0</v>
      </c>
      <c r="M76" s="262"/>
      <c r="N76" s="271">
        <f>Données!S76</f>
        <v>74393.5</v>
      </c>
      <c r="O76" s="271">
        <f>Données!T76</f>
        <v>26.2</v>
      </c>
      <c r="P76" s="271">
        <f>Données!U76</f>
        <v>52986.25</v>
      </c>
      <c r="Q76" s="246">
        <f>Données!V76</f>
        <v>35588.449999999997</v>
      </c>
      <c r="R76" s="233">
        <f t="shared" si="12"/>
        <v>74379.509999999995</v>
      </c>
      <c r="S76" s="250">
        <f t="shared" si="17"/>
        <v>-156092.05646884613</v>
      </c>
      <c r="T76" s="251">
        <f t="shared" si="15"/>
        <v>-81712.546468846136</v>
      </c>
    </row>
    <row r="77" spans="1:20" x14ac:dyDescent="0.25">
      <c r="A77" s="108">
        <f>Données!A77</f>
        <v>5523</v>
      </c>
      <c r="B77" s="120" t="str">
        <f>Données!B77</f>
        <v>Froideville</v>
      </c>
      <c r="C77" s="249">
        <f>Données!C77</f>
        <v>2713</v>
      </c>
      <c r="D77" s="246">
        <f>RFS!W77</f>
        <v>6076748.3973764637</v>
      </c>
      <c r="E77" s="262"/>
      <c r="F77" s="268">
        <f t="shared" si="9"/>
        <v>2239.8630288892236</v>
      </c>
      <c r="G77" s="262">
        <f t="shared" si="16"/>
        <v>-1188.5289752646618</v>
      </c>
      <c r="H77" s="269">
        <f t="shared" si="10"/>
        <v>-2579583.2879144219</v>
      </c>
      <c r="I77" s="241"/>
      <c r="J77" s="233">
        <f t="shared" si="13"/>
        <v>3190.6862091009534</v>
      </c>
      <c r="K77" s="262">
        <f t="shared" si="11"/>
        <v>0</v>
      </c>
      <c r="L77" s="269">
        <f t="shared" si="14"/>
        <v>0</v>
      </c>
      <c r="M77" s="262"/>
      <c r="N77" s="271">
        <f>Données!S77</f>
        <v>233924.15</v>
      </c>
      <c r="O77" s="271">
        <f>Données!T77</f>
        <v>0</v>
      </c>
      <c r="P77" s="271">
        <f>Données!U77</f>
        <v>82453</v>
      </c>
      <c r="Q77" s="246">
        <f>Données!V77</f>
        <v>3451.85</v>
      </c>
      <c r="R77" s="233">
        <f t="shared" si="12"/>
        <v>159224.13</v>
      </c>
      <c r="S77" s="250">
        <f t="shared" si="17"/>
        <v>-535370.1001263964</v>
      </c>
      <c r="T77" s="251">
        <f t="shared" si="15"/>
        <v>-376145.97012639639</v>
      </c>
    </row>
    <row r="78" spans="1:20" x14ac:dyDescent="0.25">
      <c r="A78" s="108">
        <f>Données!A78</f>
        <v>5527</v>
      </c>
      <c r="B78" s="120" t="str">
        <f>Données!B78</f>
        <v>Morrens</v>
      </c>
      <c r="C78" s="249">
        <f>Données!C78</f>
        <v>1145</v>
      </c>
      <c r="D78" s="246">
        <f>RFS!W78</f>
        <v>2980914.3013858628</v>
      </c>
      <c r="E78" s="262"/>
      <c r="F78" s="268">
        <f t="shared" si="9"/>
        <v>2603.4186038304479</v>
      </c>
      <c r="G78" s="262">
        <f t="shared" si="16"/>
        <v>-824.97340032343755</v>
      </c>
      <c r="H78" s="269">
        <f t="shared" si="10"/>
        <v>-755675.63469626883</v>
      </c>
      <c r="I78" s="241"/>
      <c r="J78" s="233">
        <f t="shared" si="13"/>
        <v>3263.3973240891978</v>
      </c>
      <c r="K78" s="262">
        <f t="shared" si="11"/>
        <v>0</v>
      </c>
      <c r="L78" s="269">
        <f t="shared" si="14"/>
        <v>0</v>
      </c>
      <c r="M78" s="262"/>
      <c r="N78" s="271">
        <f>Données!S78</f>
        <v>20411.650000000001</v>
      </c>
      <c r="O78" s="271">
        <f>Données!T78</f>
        <v>0</v>
      </c>
      <c r="P78" s="271">
        <f>Données!U78</f>
        <v>28666</v>
      </c>
      <c r="Q78" s="246">
        <f>Données!V78</f>
        <v>6635.45</v>
      </c>
      <c r="R78" s="233">
        <f t="shared" si="12"/>
        <v>26529.46</v>
      </c>
      <c r="S78" s="250">
        <f t="shared" si="17"/>
        <v>-225948.67845363944</v>
      </c>
      <c r="T78" s="251">
        <f t="shared" si="15"/>
        <v>-199419.21845363945</v>
      </c>
    </row>
    <row r="79" spans="1:20" x14ac:dyDescent="0.25">
      <c r="A79" s="108">
        <f>Données!A79</f>
        <v>5529</v>
      </c>
      <c r="B79" s="120" t="str">
        <f>Données!B79</f>
        <v>Oulens-sous-Echallens</v>
      </c>
      <c r="C79" s="249">
        <f>Données!C79</f>
        <v>609</v>
      </c>
      <c r="D79" s="246">
        <f>RFS!W79</f>
        <v>1534498.347652128</v>
      </c>
      <c r="E79" s="262"/>
      <c r="F79" s="268">
        <f t="shared" si="9"/>
        <v>2519.7017202826405</v>
      </c>
      <c r="G79" s="262">
        <f t="shared" si="16"/>
        <v>-908.6902838712449</v>
      </c>
      <c r="H79" s="269">
        <f t="shared" si="10"/>
        <v>-442713.90630207059</v>
      </c>
      <c r="I79" s="241"/>
      <c r="J79" s="233">
        <f t="shared" si="13"/>
        <v>3246.6539473796365</v>
      </c>
      <c r="K79" s="262">
        <f t="shared" si="11"/>
        <v>0</v>
      </c>
      <c r="L79" s="269">
        <f t="shared" si="14"/>
        <v>0</v>
      </c>
      <c r="M79" s="262"/>
      <c r="N79" s="271">
        <f>Données!S79</f>
        <v>72776</v>
      </c>
      <c r="O79" s="271">
        <f>Données!T79</f>
        <v>0</v>
      </c>
      <c r="P79" s="271">
        <f>Données!U79</f>
        <v>128895.2</v>
      </c>
      <c r="Q79" s="246">
        <f>Données!V79</f>
        <v>2488.6999999999998</v>
      </c>
      <c r="R79" s="233">
        <f t="shared" si="12"/>
        <v>101582.21</v>
      </c>
      <c r="S79" s="250">
        <f t="shared" si="17"/>
        <v>-120177.07002468684</v>
      </c>
      <c r="T79" s="251">
        <f t="shared" si="15"/>
        <v>-18594.86002468683</v>
      </c>
    </row>
    <row r="80" spans="1:20" x14ac:dyDescent="0.25">
      <c r="A80" s="108">
        <f>Données!A80</f>
        <v>5530</v>
      </c>
      <c r="B80" s="120" t="str">
        <f>Données!B80</f>
        <v>Pailly</v>
      </c>
      <c r="C80" s="249">
        <f>Données!C80</f>
        <v>575</v>
      </c>
      <c r="D80" s="246">
        <f>RFS!W80</f>
        <v>1355155.1940601731</v>
      </c>
      <c r="E80" s="262"/>
      <c r="F80" s="268">
        <f t="shared" si="9"/>
        <v>2356.7916418437794</v>
      </c>
      <c r="G80" s="262">
        <f t="shared" si="16"/>
        <v>-1071.600362310106</v>
      </c>
      <c r="H80" s="269">
        <f t="shared" si="10"/>
        <v>-492936.16666264879</v>
      </c>
      <c r="I80" s="241"/>
      <c r="J80" s="233">
        <f t="shared" si="13"/>
        <v>3214.0719316918644</v>
      </c>
      <c r="K80" s="262">
        <f t="shared" si="11"/>
        <v>0</v>
      </c>
      <c r="L80" s="269">
        <f t="shared" si="14"/>
        <v>0</v>
      </c>
      <c r="M80" s="262"/>
      <c r="N80" s="271">
        <f>Données!S80</f>
        <v>60296.1</v>
      </c>
      <c r="O80" s="271">
        <f>Données!T80</f>
        <v>3370.9</v>
      </c>
      <c r="P80" s="271">
        <f>Données!U80</f>
        <v>59333.2</v>
      </c>
      <c r="Q80" s="246">
        <f>Données!V80</f>
        <v>16415.55</v>
      </c>
      <c r="R80" s="233">
        <f t="shared" si="12"/>
        <v>66424.764999999999</v>
      </c>
      <c r="S80" s="250">
        <f t="shared" si="17"/>
        <v>-113467.67695270103</v>
      </c>
      <c r="T80" s="251">
        <f t="shared" si="15"/>
        <v>-47042.911952701033</v>
      </c>
    </row>
    <row r="81" spans="1:20" x14ac:dyDescent="0.25">
      <c r="A81" s="108">
        <f>Données!A81</f>
        <v>5531</v>
      </c>
      <c r="B81" s="120" t="str">
        <f>Données!B81</f>
        <v>Penthéréaz</v>
      </c>
      <c r="C81" s="249">
        <f>Données!C81</f>
        <v>446</v>
      </c>
      <c r="D81" s="246">
        <f>RFS!W81</f>
        <v>845724.04143208731</v>
      </c>
      <c r="E81" s="262"/>
      <c r="F81" s="268">
        <f t="shared" si="9"/>
        <v>1896.2422453634244</v>
      </c>
      <c r="G81" s="262">
        <f t="shared" si="16"/>
        <v>-1532.149758790461</v>
      </c>
      <c r="H81" s="269">
        <f t="shared" si="10"/>
        <v>-546671.03393643652</v>
      </c>
      <c r="I81" s="241"/>
      <c r="J81" s="233">
        <f t="shared" si="13"/>
        <v>3121.9620523957933</v>
      </c>
      <c r="K81" s="262">
        <f t="shared" si="11"/>
        <v>0</v>
      </c>
      <c r="L81" s="269">
        <f t="shared" si="14"/>
        <v>0</v>
      </c>
      <c r="M81" s="262"/>
      <c r="N81" s="271">
        <f>Données!S81</f>
        <v>60444</v>
      </c>
      <c r="O81" s="271">
        <f>Données!T81</f>
        <v>0</v>
      </c>
      <c r="P81" s="271">
        <f>Données!U81</f>
        <v>46244.7</v>
      </c>
      <c r="Q81" s="246">
        <f>Données!V81</f>
        <v>13583.5</v>
      </c>
      <c r="R81" s="233">
        <f t="shared" si="12"/>
        <v>57419.4</v>
      </c>
      <c r="S81" s="250">
        <f t="shared" si="17"/>
        <v>-88011.4502972255</v>
      </c>
      <c r="T81" s="251">
        <f t="shared" si="15"/>
        <v>-30592.050297225498</v>
      </c>
    </row>
    <row r="82" spans="1:20" x14ac:dyDescent="0.25">
      <c r="A82" s="108">
        <f>Données!A82</f>
        <v>5533</v>
      </c>
      <c r="B82" s="120" t="str">
        <f>Données!B82</f>
        <v>Poliez-Pittet</v>
      </c>
      <c r="C82" s="249">
        <f>Données!C82</f>
        <v>847</v>
      </c>
      <c r="D82" s="246">
        <f>RFS!W82</f>
        <v>2201230.3413380063</v>
      </c>
      <c r="E82" s="262"/>
      <c r="F82" s="268">
        <f t="shared" si="9"/>
        <v>2598.85518457852</v>
      </c>
      <c r="G82" s="262">
        <f t="shared" si="16"/>
        <v>-829.53681957536537</v>
      </c>
      <c r="H82" s="269">
        <f t="shared" si="10"/>
        <v>-562094.14894426765</v>
      </c>
      <c r="I82" s="241"/>
      <c r="J82" s="233">
        <f t="shared" si="13"/>
        <v>3262.4846402388121</v>
      </c>
      <c r="K82" s="262">
        <f t="shared" si="11"/>
        <v>0</v>
      </c>
      <c r="L82" s="269">
        <f t="shared" si="14"/>
        <v>0</v>
      </c>
      <c r="M82" s="262"/>
      <c r="N82" s="271">
        <f>Données!S82</f>
        <v>130729.7</v>
      </c>
      <c r="O82" s="271">
        <f>Données!T82</f>
        <v>135</v>
      </c>
      <c r="P82" s="271">
        <f>Données!U82</f>
        <v>109006.6</v>
      </c>
      <c r="Q82" s="246">
        <f>Données!V82</f>
        <v>28726.05</v>
      </c>
      <c r="R82" s="233">
        <f t="shared" si="12"/>
        <v>128553.465</v>
      </c>
      <c r="S82" s="250">
        <f t="shared" si="17"/>
        <v>-167142.82152858743</v>
      </c>
      <c r="T82" s="251">
        <f t="shared" si="15"/>
        <v>-38589.356528587436</v>
      </c>
    </row>
    <row r="83" spans="1:20" x14ac:dyDescent="0.25">
      <c r="A83" s="108">
        <f>Données!A83</f>
        <v>5534</v>
      </c>
      <c r="B83" s="120" t="str">
        <f>Données!B83</f>
        <v>Rueyres</v>
      </c>
      <c r="C83" s="249">
        <f>Données!C83</f>
        <v>302</v>
      </c>
      <c r="D83" s="246">
        <f>RFS!W83</f>
        <v>834535.47411490488</v>
      </c>
      <c r="E83" s="262"/>
      <c r="F83" s="268">
        <f t="shared" si="9"/>
        <v>2763.3624970692213</v>
      </c>
      <c r="G83" s="262">
        <f t="shared" si="16"/>
        <v>-665.02950708466415</v>
      </c>
      <c r="H83" s="269">
        <f t="shared" si="10"/>
        <v>-160671.12891165487</v>
      </c>
      <c r="I83" s="241"/>
      <c r="J83" s="233">
        <f t="shared" si="13"/>
        <v>3295.386102736953</v>
      </c>
      <c r="K83" s="262">
        <f t="shared" si="11"/>
        <v>0</v>
      </c>
      <c r="L83" s="269">
        <f t="shared" si="14"/>
        <v>0</v>
      </c>
      <c r="M83" s="262"/>
      <c r="N83" s="271">
        <f>Données!S83</f>
        <v>15103.15</v>
      </c>
      <c r="O83" s="271">
        <f>Données!T83</f>
        <v>0</v>
      </c>
      <c r="P83" s="271">
        <f>Données!U83</f>
        <v>21385.599999999999</v>
      </c>
      <c r="Q83" s="246">
        <f>Données!V83</f>
        <v>25162.05</v>
      </c>
      <c r="R83" s="233">
        <f t="shared" si="12"/>
        <v>25792.989999999998</v>
      </c>
      <c r="S83" s="250">
        <f t="shared" si="17"/>
        <v>-59595.197286462106</v>
      </c>
      <c r="T83" s="251">
        <f t="shared" si="15"/>
        <v>-33802.207286462108</v>
      </c>
    </row>
    <row r="84" spans="1:20" x14ac:dyDescent="0.25">
      <c r="A84" s="108">
        <f>Données!A84</f>
        <v>5535</v>
      </c>
      <c r="B84" s="120" t="str">
        <f>Données!B84</f>
        <v>Saint-Barthélemy</v>
      </c>
      <c r="C84" s="249">
        <f>Données!C84</f>
        <v>838</v>
      </c>
      <c r="D84" s="246">
        <f>RFS!W84</f>
        <v>1764178.619364843</v>
      </c>
      <c r="E84" s="262"/>
      <c r="F84" s="268">
        <f t="shared" si="9"/>
        <v>2105.2250827742755</v>
      </c>
      <c r="G84" s="262">
        <f t="shared" si="16"/>
        <v>-1323.1669213796099</v>
      </c>
      <c r="H84" s="269">
        <f t="shared" si="10"/>
        <v>-887051.1040928904</v>
      </c>
      <c r="I84" s="241"/>
      <c r="J84" s="233">
        <f t="shared" si="13"/>
        <v>3163.7586198779632</v>
      </c>
      <c r="K84" s="262">
        <f t="shared" si="11"/>
        <v>0</v>
      </c>
      <c r="L84" s="269">
        <f t="shared" si="14"/>
        <v>0</v>
      </c>
      <c r="M84" s="262"/>
      <c r="N84" s="271">
        <f>Données!S84</f>
        <v>147630.20000000001</v>
      </c>
      <c r="O84" s="271">
        <f>Données!T84</f>
        <v>0</v>
      </c>
      <c r="P84" s="271">
        <f>Données!U84</f>
        <v>91236.6</v>
      </c>
      <c r="Q84" s="246">
        <f>Données!V84</f>
        <v>66337.25</v>
      </c>
      <c r="R84" s="233">
        <f t="shared" si="12"/>
        <v>139334.57500000001</v>
      </c>
      <c r="S84" s="250">
        <f t="shared" si="17"/>
        <v>-165366.80571541472</v>
      </c>
      <c r="T84" s="251">
        <f t="shared" si="15"/>
        <v>-26032.230715414713</v>
      </c>
    </row>
    <row r="85" spans="1:20" x14ac:dyDescent="0.25">
      <c r="A85" s="108">
        <f>Données!A85</f>
        <v>5537</v>
      </c>
      <c r="B85" s="120" t="str">
        <f>Données!B85</f>
        <v>Villars-le-Terroir</v>
      </c>
      <c r="C85" s="249">
        <f>Données!C85</f>
        <v>1334</v>
      </c>
      <c r="D85" s="246">
        <f>RFS!W85</f>
        <v>2777878.6699368255</v>
      </c>
      <c r="E85" s="262"/>
      <c r="F85" s="268">
        <f t="shared" si="9"/>
        <v>2082.3678185433473</v>
      </c>
      <c r="G85" s="262">
        <f t="shared" si="16"/>
        <v>-1346.0241856105381</v>
      </c>
      <c r="H85" s="269">
        <f t="shared" si="10"/>
        <v>-1436477.0108835662</v>
      </c>
      <c r="I85" s="241"/>
      <c r="J85" s="233">
        <f t="shared" si="13"/>
        <v>3159.1871670317778</v>
      </c>
      <c r="K85" s="262">
        <f t="shared" si="11"/>
        <v>0</v>
      </c>
      <c r="L85" s="269">
        <f t="shared" si="14"/>
        <v>0</v>
      </c>
      <c r="M85" s="262"/>
      <c r="N85" s="271">
        <f>Données!S85</f>
        <v>107565</v>
      </c>
      <c r="O85" s="271">
        <f>Données!T85</f>
        <v>14485.3</v>
      </c>
      <c r="P85" s="271">
        <f>Données!U85</f>
        <v>103597.4</v>
      </c>
      <c r="Q85" s="246">
        <f>Données!V85</f>
        <v>11286.3</v>
      </c>
      <c r="R85" s="233">
        <f t="shared" si="12"/>
        <v>116209.74</v>
      </c>
      <c r="S85" s="250">
        <f t="shared" si="17"/>
        <v>-263245.01053026639</v>
      </c>
      <c r="T85" s="251">
        <f t="shared" si="15"/>
        <v>-147035.2705302664</v>
      </c>
    </row>
    <row r="86" spans="1:20" x14ac:dyDescent="0.25">
      <c r="A86" s="108">
        <f>Données!A86</f>
        <v>5539</v>
      </c>
      <c r="B86" s="120" t="str">
        <f>Données!B86</f>
        <v>Vuarrens</v>
      </c>
      <c r="C86" s="249">
        <f>Données!C86</f>
        <v>1113</v>
      </c>
      <c r="D86" s="246">
        <f>RFS!W86</f>
        <v>2556860.4348792606</v>
      </c>
      <c r="E86" s="262"/>
      <c r="F86" s="268">
        <f t="shared" si="9"/>
        <v>2297.2690340334775</v>
      </c>
      <c r="G86" s="262">
        <f t="shared" si="16"/>
        <v>-1131.1229701204079</v>
      </c>
      <c r="H86" s="269">
        <f t="shared" si="10"/>
        <v>-1007151.8925952113</v>
      </c>
      <c r="I86" s="241"/>
      <c r="J86" s="233">
        <f t="shared" si="13"/>
        <v>3202.167410129804</v>
      </c>
      <c r="K86" s="262">
        <f t="shared" si="11"/>
        <v>0</v>
      </c>
      <c r="L86" s="269">
        <f t="shared" si="14"/>
        <v>0</v>
      </c>
      <c r="M86" s="262"/>
      <c r="N86" s="271">
        <f>Données!S86</f>
        <v>126268.15</v>
      </c>
      <c r="O86" s="271">
        <f>Données!T86</f>
        <v>0</v>
      </c>
      <c r="P86" s="271">
        <f>Données!U86</f>
        <v>77291.8</v>
      </c>
      <c r="Q86" s="246">
        <f>Données!V86</f>
        <v>28846.45</v>
      </c>
      <c r="R86" s="233">
        <f t="shared" si="12"/>
        <v>110433.91</v>
      </c>
      <c r="S86" s="250">
        <f t="shared" si="17"/>
        <v>-219633.95556235869</v>
      </c>
      <c r="T86" s="251">
        <f t="shared" si="15"/>
        <v>-109200.04556235869</v>
      </c>
    </row>
    <row r="87" spans="1:20" x14ac:dyDescent="0.25">
      <c r="A87" s="108">
        <f>Données!A87</f>
        <v>5540</v>
      </c>
      <c r="B87" s="120" t="str">
        <f>Données!B87</f>
        <v>Montilliez</v>
      </c>
      <c r="C87" s="249">
        <f>Données!C87</f>
        <v>1856</v>
      </c>
      <c r="D87" s="246">
        <f>RFS!W87</f>
        <v>4453931.9200695911</v>
      </c>
      <c r="E87" s="262"/>
      <c r="F87" s="268">
        <f t="shared" si="9"/>
        <v>2399.7478017616331</v>
      </c>
      <c r="G87" s="262">
        <f t="shared" si="16"/>
        <v>-1028.6442023922523</v>
      </c>
      <c r="H87" s="269">
        <f t="shared" si="10"/>
        <v>-1527330.9117120164</v>
      </c>
      <c r="I87" s="241"/>
      <c r="J87" s="233">
        <f t="shared" si="13"/>
        <v>3222.663163675435</v>
      </c>
      <c r="K87" s="262">
        <f t="shared" si="11"/>
        <v>0</v>
      </c>
      <c r="L87" s="269">
        <f t="shared" si="14"/>
        <v>0</v>
      </c>
      <c r="M87" s="262"/>
      <c r="N87" s="271">
        <f>Données!S87</f>
        <v>197730.45</v>
      </c>
      <c r="O87" s="271">
        <f>Données!T87</f>
        <v>0</v>
      </c>
      <c r="P87" s="271">
        <f>Données!U87</f>
        <v>172210.95</v>
      </c>
      <c r="Q87" s="246">
        <f>Données!V87</f>
        <v>19515</v>
      </c>
      <c r="R87" s="233">
        <f t="shared" si="12"/>
        <v>190825.2</v>
      </c>
      <c r="S87" s="250">
        <f t="shared" si="17"/>
        <v>-366253.92769428366</v>
      </c>
      <c r="T87" s="251">
        <f t="shared" si="15"/>
        <v>-175428.72769428365</v>
      </c>
    </row>
    <row r="88" spans="1:20" x14ac:dyDescent="0.25">
      <c r="A88" s="108">
        <f>Données!A88</f>
        <v>5541</v>
      </c>
      <c r="B88" s="120" t="str">
        <f>Données!B88</f>
        <v>Goumoëns</v>
      </c>
      <c r="C88" s="249">
        <f>Données!C88</f>
        <v>1251</v>
      </c>
      <c r="D88" s="246">
        <f>RFS!W88</f>
        <v>2787663.6100383871</v>
      </c>
      <c r="E88" s="262"/>
      <c r="F88" s="268">
        <f t="shared" si="9"/>
        <v>2228.348209463139</v>
      </c>
      <c r="G88" s="262">
        <f t="shared" si="16"/>
        <v>-1200.0437946907464</v>
      </c>
      <c r="H88" s="269">
        <f t="shared" si="10"/>
        <v>-1201003.829726499</v>
      </c>
      <c r="I88" s="241"/>
      <c r="J88" s="233">
        <f t="shared" si="13"/>
        <v>3188.3832452157362</v>
      </c>
      <c r="K88" s="262">
        <f t="shared" si="11"/>
        <v>0</v>
      </c>
      <c r="L88" s="269">
        <f t="shared" si="14"/>
        <v>0</v>
      </c>
      <c r="M88" s="262"/>
      <c r="N88" s="271">
        <f>Données!S88</f>
        <v>66636.05</v>
      </c>
      <c r="O88" s="271">
        <f>Données!T88</f>
        <v>129994.6</v>
      </c>
      <c r="P88" s="271">
        <f>Données!U88</f>
        <v>39896.300000000003</v>
      </c>
      <c r="Q88" s="246">
        <f>Données!V88</f>
        <v>17346.599999999999</v>
      </c>
      <c r="R88" s="233">
        <f t="shared" si="12"/>
        <v>123467.455</v>
      </c>
      <c r="S88" s="250">
        <f t="shared" si="17"/>
        <v>-246866.19803100693</v>
      </c>
      <c r="T88" s="251">
        <f t="shared" si="15"/>
        <v>-123398.74303100693</v>
      </c>
    </row>
    <row r="89" spans="1:20" x14ac:dyDescent="0.25">
      <c r="A89" s="108">
        <f>Données!A89</f>
        <v>5551</v>
      </c>
      <c r="B89" s="120" t="str">
        <f>Données!B89</f>
        <v>Bonvillars</v>
      </c>
      <c r="C89" s="249">
        <f>Données!C89</f>
        <v>517</v>
      </c>
      <c r="D89" s="246">
        <f>RFS!W89</f>
        <v>1478536.6884886776</v>
      </c>
      <c r="E89" s="262"/>
      <c r="F89" s="268">
        <f t="shared" si="9"/>
        <v>2859.8388558775196</v>
      </c>
      <c r="G89" s="262">
        <f t="shared" si="16"/>
        <v>-568.55314827636585</v>
      </c>
      <c r="H89" s="269">
        <f t="shared" si="10"/>
        <v>-235153.58212710495</v>
      </c>
      <c r="I89" s="241"/>
      <c r="J89" s="233">
        <f t="shared" si="13"/>
        <v>3314.6813744986125</v>
      </c>
      <c r="K89" s="262">
        <f t="shared" si="11"/>
        <v>0</v>
      </c>
      <c r="L89" s="269">
        <f t="shared" si="14"/>
        <v>0</v>
      </c>
      <c r="M89" s="262"/>
      <c r="N89" s="271">
        <f>Données!S89</f>
        <v>113140.59999999998</v>
      </c>
      <c r="O89" s="271">
        <f>Données!T89</f>
        <v>888.70000000001164</v>
      </c>
      <c r="P89" s="271">
        <f>Données!U89</f>
        <v>25024.55</v>
      </c>
      <c r="Q89" s="246">
        <f>Données!V89</f>
        <v>8203</v>
      </c>
      <c r="R89" s="233">
        <f t="shared" si="12"/>
        <v>71987.824999999983</v>
      </c>
      <c r="S89" s="250">
        <f t="shared" si="17"/>
        <v>-102022.24171225466</v>
      </c>
      <c r="T89" s="251">
        <f t="shared" si="15"/>
        <v>-30034.416712254679</v>
      </c>
    </row>
    <row r="90" spans="1:20" x14ac:dyDescent="0.25">
      <c r="A90" s="108">
        <f>Données!A90</f>
        <v>5552</v>
      </c>
      <c r="B90" s="120" t="str">
        <f>Données!B90</f>
        <v>Bullet</v>
      </c>
      <c r="C90" s="249">
        <f>Données!C90</f>
        <v>687</v>
      </c>
      <c r="D90" s="246">
        <f>RFS!W90</f>
        <v>1384210.3969461345</v>
      </c>
      <c r="E90" s="262"/>
      <c r="F90" s="268">
        <f t="shared" si="9"/>
        <v>2014.8622954092205</v>
      </c>
      <c r="G90" s="262">
        <f t="shared" si="16"/>
        <v>-1413.529708744665</v>
      </c>
      <c r="H90" s="269">
        <f t="shared" si="10"/>
        <v>-776875.92792606796</v>
      </c>
      <c r="I90" s="241"/>
      <c r="J90" s="233">
        <f t="shared" si="13"/>
        <v>3145.6860624049523</v>
      </c>
      <c r="K90" s="262">
        <f t="shared" si="11"/>
        <v>0</v>
      </c>
      <c r="L90" s="269">
        <f t="shared" si="14"/>
        <v>0</v>
      </c>
      <c r="M90" s="262"/>
      <c r="N90" s="271">
        <f>Données!S90</f>
        <v>88919.05</v>
      </c>
      <c r="O90" s="271">
        <f>Données!T90</f>
        <v>101371.6</v>
      </c>
      <c r="P90" s="271">
        <f>Données!U90</f>
        <v>75957.45</v>
      </c>
      <c r="Q90" s="246">
        <f>Données!V90</f>
        <v>101538.95</v>
      </c>
      <c r="R90" s="233">
        <f t="shared" si="12"/>
        <v>163585.73500000002</v>
      </c>
      <c r="S90" s="250">
        <f t="shared" si="17"/>
        <v>-135569.20707218366</v>
      </c>
      <c r="T90" s="251">
        <f t="shared" si="15"/>
        <v>28016.527927816351</v>
      </c>
    </row>
    <row r="91" spans="1:20" x14ac:dyDescent="0.25">
      <c r="A91" s="108">
        <f>Données!A91</f>
        <v>5553</v>
      </c>
      <c r="B91" s="120" t="str">
        <f>Données!B91</f>
        <v>Champagne</v>
      </c>
      <c r="C91" s="249">
        <f>Données!C91</f>
        <v>1087</v>
      </c>
      <c r="D91" s="246">
        <f>RFS!W91</f>
        <v>2925583.7213703999</v>
      </c>
      <c r="E91" s="262"/>
      <c r="F91" s="268">
        <f t="shared" si="9"/>
        <v>2691.4293664861084</v>
      </c>
      <c r="G91" s="262">
        <f t="shared" si="16"/>
        <v>-736.96263766777702</v>
      </c>
      <c r="H91" s="269">
        <f t="shared" si="10"/>
        <v>-640862.70971589896</v>
      </c>
      <c r="I91" s="241"/>
      <c r="J91" s="233">
        <f t="shared" si="13"/>
        <v>3280.9994766203304</v>
      </c>
      <c r="K91" s="262">
        <f t="shared" si="11"/>
        <v>0</v>
      </c>
      <c r="L91" s="269">
        <f t="shared" si="14"/>
        <v>0</v>
      </c>
      <c r="M91" s="262"/>
      <c r="N91" s="271">
        <f>Données!S91</f>
        <v>36049.300000000003</v>
      </c>
      <c r="O91" s="271">
        <f>Données!T91</f>
        <v>0</v>
      </c>
      <c r="P91" s="271">
        <f>Données!U91</f>
        <v>25029.200000000001</v>
      </c>
      <c r="Q91" s="246">
        <f>Données!V91</f>
        <v>257661.75</v>
      </c>
      <c r="R91" s="233">
        <f t="shared" si="12"/>
        <v>107837.77499999999</v>
      </c>
      <c r="S91" s="250">
        <f t="shared" si="17"/>
        <v>-214503.24321319308</v>
      </c>
      <c r="T91" s="251">
        <f t="shared" si="15"/>
        <v>-106665.46821319309</v>
      </c>
    </row>
    <row r="92" spans="1:20" x14ac:dyDescent="0.25">
      <c r="A92" s="108">
        <f>Données!A92</f>
        <v>5554</v>
      </c>
      <c r="B92" s="120" t="str">
        <f>Données!B92</f>
        <v>Concise</v>
      </c>
      <c r="C92" s="249">
        <f>Données!C92</f>
        <v>1035</v>
      </c>
      <c r="D92" s="246">
        <f>RFS!W92</f>
        <v>2336973.9826605991</v>
      </c>
      <c r="E92" s="262"/>
      <c r="F92" s="268">
        <f t="shared" si="9"/>
        <v>2257.9458769667622</v>
      </c>
      <c r="G92" s="262">
        <f t="shared" si="16"/>
        <v>-1170.4461271871232</v>
      </c>
      <c r="H92" s="269">
        <f t="shared" si="10"/>
        <v>-969129.39331093803</v>
      </c>
      <c r="I92" s="241"/>
      <c r="J92" s="233">
        <f t="shared" si="13"/>
        <v>3194.302778716461</v>
      </c>
      <c r="K92" s="262">
        <f t="shared" si="11"/>
        <v>0</v>
      </c>
      <c r="L92" s="269">
        <f t="shared" si="14"/>
        <v>0</v>
      </c>
      <c r="M92" s="262"/>
      <c r="N92" s="271">
        <f>Données!S92</f>
        <v>166660.35</v>
      </c>
      <c r="O92" s="271">
        <f>Données!T92</f>
        <v>4771.6000000000004</v>
      </c>
      <c r="P92" s="271">
        <f>Données!U92</f>
        <v>116899.6</v>
      </c>
      <c r="Q92" s="246">
        <f>Données!V92</f>
        <v>44698.85</v>
      </c>
      <c r="R92" s="233">
        <f t="shared" si="12"/>
        <v>157575.43000000002</v>
      </c>
      <c r="S92" s="250">
        <f t="shared" si="17"/>
        <v>-204241.81851486186</v>
      </c>
      <c r="T92" s="251">
        <f t="shared" si="15"/>
        <v>-46666.388514861843</v>
      </c>
    </row>
    <row r="93" spans="1:20" x14ac:dyDescent="0.25">
      <c r="A93" s="108">
        <f>Données!A93</f>
        <v>5555</v>
      </c>
      <c r="B93" s="120" t="str">
        <f>Données!B93</f>
        <v>Corcelles-près-Concise</v>
      </c>
      <c r="C93" s="249">
        <f>Données!C93</f>
        <v>439</v>
      </c>
      <c r="D93" s="246">
        <f>RFS!W93</f>
        <v>1052924.0797157881</v>
      </c>
      <c r="E93" s="262"/>
      <c r="F93" s="268">
        <f t="shared" si="9"/>
        <v>2398.4603182591986</v>
      </c>
      <c r="G93" s="262">
        <f t="shared" si="16"/>
        <v>-1029.9316858946868</v>
      </c>
      <c r="H93" s="269">
        <f t="shared" si="10"/>
        <v>-361712.00808621402</v>
      </c>
      <c r="I93" s="241"/>
      <c r="J93" s="233">
        <f t="shared" si="13"/>
        <v>3222.405666974948</v>
      </c>
      <c r="K93" s="262">
        <f t="shared" si="11"/>
        <v>0</v>
      </c>
      <c r="L93" s="269">
        <f t="shared" si="14"/>
        <v>0</v>
      </c>
      <c r="M93" s="262"/>
      <c r="N93" s="271">
        <f>Données!S93</f>
        <v>8421.5</v>
      </c>
      <c r="O93" s="271">
        <f>Données!T93</f>
        <v>14749.5</v>
      </c>
      <c r="P93" s="271">
        <f>Données!U93</f>
        <v>24339.1</v>
      </c>
      <c r="Q93" s="246">
        <f>Données!V93</f>
        <v>7296.7</v>
      </c>
      <c r="R93" s="233">
        <f t="shared" si="12"/>
        <v>25944.059999999998</v>
      </c>
      <c r="S93" s="250">
        <f t="shared" si="17"/>
        <v>-86630.104664757833</v>
      </c>
      <c r="T93" s="251">
        <f t="shared" si="15"/>
        <v>-60686.044664757836</v>
      </c>
    </row>
    <row r="94" spans="1:20" x14ac:dyDescent="0.25">
      <c r="A94" s="108">
        <f>Données!A94</f>
        <v>5556</v>
      </c>
      <c r="B94" s="120" t="str">
        <f>Données!B94</f>
        <v>Fiez</v>
      </c>
      <c r="C94" s="249">
        <f>Données!C94</f>
        <v>421</v>
      </c>
      <c r="D94" s="246">
        <f>RFS!W94</f>
        <v>968094.10225530609</v>
      </c>
      <c r="E94" s="262"/>
      <c r="F94" s="268">
        <f t="shared" si="9"/>
        <v>2299.5109317228175</v>
      </c>
      <c r="G94" s="262">
        <f t="shared" si="16"/>
        <v>-1128.8810724310679</v>
      </c>
      <c r="H94" s="269">
        <f t="shared" si="10"/>
        <v>-380207.14519478369</v>
      </c>
      <c r="I94" s="241"/>
      <c r="J94" s="233">
        <f t="shared" si="13"/>
        <v>3202.6157896676718</v>
      </c>
      <c r="K94" s="262">
        <f t="shared" si="11"/>
        <v>0</v>
      </c>
      <c r="L94" s="269">
        <f t="shared" si="14"/>
        <v>0</v>
      </c>
      <c r="M94" s="262"/>
      <c r="N94" s="271">
        <f>Données!S94</f>
        <v>21285</v>
      </c>
      <c r="O94" s="271">
        <f>Données!T94</f>
        <v>0</v>
      </c>
      <c r="P94" s="271">
        <f>Données!U94</f>
        <v>24293.15</v>
      </c>
      <c r="Q94" s="246">
        <f>Données!V94</f>
        <v>0</v>
      </c>
      <c r="R94" s="233">
        <f t="shared" si="12"/>
        <v>22789.075000000001</v>
      </c>
      <c r="S94" s="250">
        <f t="shared" si="17"/>
        <v>-83078.073038412404</v>
      </c>
      <c r="T94" s="251">
        <f t="shared" si="15"/>
        <v>-60288.998038412406</v>
      </c>
    </row>
    <row r="95" spans="1:20" x14ac:dyDescent="0.25">
      <c r="A95" s="108">
        <f>Données!A95</f>
        <v>5557</v>
      </c>
      <c r="B95" s="120" t="str">
        <f>Données!B95</f>
        <v>Fontaines-sur-Grandson</v>
      </c>
      <c r="C95" s="249">
        <f>Données!C95</f>
        <v>228</v>
      </c>
      <c r="D95" s="246">
        <f>RFS!W95</f>
        <v>430789.93683835422</v>
      </c>
      <c r="E95" s="262"/>
      <c r="F95" s="268">
        <f t="shared" si="9"/>
        <v>1889.4295475366414</v>
      </c>
      <c r="G95" s="262">
        <f t="shared" si="16"/>
        <v>-1538.962456617244</v>
      </c>
      <c r="H95" s="269">
        <f t="shared" si="10"/>
        <v>-280706.75208698533</v>
      </c>
      <c r="I95" s="241"/>
      <c r="J95" s="233">
        <f t="shared" si="13"/>
        <v>3120.5995128304367</v>
      </c>
      <c r="K95" s="262">
        <f t="shared" si="11"/>
        <v>0</v>
      </c>
      <c r="L95" s="269">
        <f t="shared" si="14"/>
        <v>0</v>
      </c>
      <c r="M95" s="262"/>
      <c r="N95" s="271">
        <f>Données!S95</f>
        <v>314.14999999999998</v>
      </c>
      <c r="O95" s="271">
        <f>Données!T95</f>
        <v>9309.2999999999993</v>
      </c>
      <c r="P95" s="271">
        <f>Données!U95</f>
        <v>0</v>
      </c>
      <c r="Q95" s="246">
        <f>Données!V95</f>
        <v>0</v>
      </c>
      <c r="R95" s="233">
        <f t="shared" si="12"/>
        <v>4811.7249999999995</v>
      </c>
      <c r="S95" s="250">
        <f t="shared" si="17"/>
        <v>-44992.400600375368</v>
      </c>
      <c r="T95" s="251">
        <f t="shared" si="15"/>
        <v>-40180.675600375369</v>
      </c>
    </row>
    <row r="96" spans="1:20" x14ac:dyDescent="0.25">
      <c r="A96" s="108">
        <f>Données!A96</f>
        <v>5559</v>
      </c>
      <c r="B96" s="120" t="str">
        <f>Données!B96</f>
        <v>Giez</v>
      </c>
      <c r="C96" s="249">
        <f>Données!C96</f>
        <v>464</v>
      </c>
      <c r="D96" s="246">
        <f>RFS!W96</f>
        <v>1586351.8741402591</v>
      </c>
      <c r="E96" s="262"/>
      <c r="F96" s="268">
        <f t="shared" si="9"/>
        <v>3418.8617977160757</v>
      </c>
      <c r="G96" s="262">
        <f t="shared" si="16"/>
        <v>-9.5302064378097384</v>
      </c>
      <c r="H96" s="269">
        <f t="shared" si="10"/>
        <v>-3537.6126297149749</v>
      </c>
      <c r="I96" s="241"/>
      <c r="J96" s="233">
        <f t="shared" si="13"/>
        <v>3426.4859628663235</v>
      </c>
      <c r="K96" s="262">
        <f t="shared" si="11"/>
        <v>0</v>
      </c>
      <c r="L96" s="269">
        <f t="shared" si="14"/>
        <v>0</v>
      </c>
      <c r="M96" s="262"/>
      <c r="N96" s="271">
        <f>Données!S96</f>
        <v>63143.8</v>
      </c>
      <c r="O96" s="271">
        <f>Données!T96</f>
        <v>0</v>
      </c>
      <c r="P96" s="271">
        <f>Données!U96</f>
        <v>79161.05</v>
      </c>
      <c r="Q96" s="246">
        <f>Données!V96</f>
        <v>8629.7999999999993</v>
      </c>
      <c r="R96" s="233">
        <f t="shared" si="12"/>
        <v>73741.365000000005</v>
      </c>
      <c r="S96" s="250">
        <f t="shared" si="17"/>
        <v>-91563.481923570915</v>
      </c>
      <c r="T96" s="251">
        <f t="shared" si="15"/>
        <v>-17822.116923570909</v>
      </c>
    </row>
    <row r="97" spans="1:20" x14ac:dyDescent="0.25">
      <c r="A97" s="108">
        <f>Données!A97</f>
        <v>5560</v>
      </c>
      <c r="B97" s="120" t="str">
        <f>Données!B97</f>
        <v>Grandevent</v>
      </c>
      <c r="C97" s="249">
        <f>Données!C97</f>
        <v>241</v>
      </c>
      <c r="D97" s="246">
        <f>RFS!W97</f>
        <v>454951.42337989953</v>
      </c>
      <c r="E97" s="262"/>
      <c r="F97" s="268">
        <f t="shared" si="9"/>
        <v>1887.7652422402471</v>
      </c>
      <c r="G97" s="262">
        <f t="shared" si="16"/>
        <v>-1540.6267619136383</v>
      </c>
      <c r="H97" s="269">
        <f t="shared" si="10"/>
        <v>-297032.83969694946</v>
      </c>
      <c r="I97" s="241"/>
      <c r="J97" s="233">
        <f t="shared" si="13"/>
        <v>3120.2666517711577</v>
      </c>
      <c r="K97" s="262">
        <f t="shared" si="11"/>
        <v>0</v>
      </c>
      <c r="L97" s="269">
        <f t="shared" si="14"/>
        <v>0</v>
      </c>
      <c r="M97" s="262"/>
      <c r="N97" s="271">
        <f>Données!S97</f>
        <v>8922.35</v>
      </c>
      <c r="O97" s="271">
        <f>Données!T97</f>
        <v>0</v>
      </c>
      <c r="P97" s="271">
        <f>Données!U97</f>
        <v>11549.8</v>
      </c>
      <c r="Q97" s="246">
        <f>Données!V97</f>
        <v>0</v>
      </c>
      <c r="R97" s="233">
        <f t="shared" si="12"/>
        <v>10236.075000000001</v>
      </c>
      <c r="S97" s="250">
        <f t="shared" si="17"/>
        <v>-47557.756774958172</v>
      </c>
      <c r="T97" s="251">
        <f t="shared" si="15"/>
        <v>-37321.681774958168</v>
      </c>
    </row>
    <row r="98" spans="1:20" x14ac:dyDescent="0.25">
      <c r="A98" s="108">
        <f>Données!A98</f>
        <v>5561</v>
      </c>
      <c r="B98" s="120" t="str">
        <f>Données!B98</f>
        <v>Grandson</v>
      </c>
      <c r="C98" s="249">
        <f>Données!C98</f>
        <v>3391</v>
      </c>
      <c r="D98" s="246">
        <f>RFS!W98</f>
        <v>9067389.7212364022</v>
      </c>
      <c r="E98" s="262"/>
      <c r="F98" s="268">
        <f t="shared" si="9"/>
        <v>2673.9574524436457</v>
      </c>
      <c r="G98" s="262">
        <f t="shared" si="16"/>
        <v>-754.4345517102397</v>
      </c>
      <c r="H98" s="269">
        <f t="shared" si="10"/>
        <v>-2046630.0518795382</v>
      </c>
      <c r="I98" s="241"/>
      <c r="J98" s="233">
        <f t="shared" si="13"/>
        <v>3277.5050938118375</v>
      </c>
      <c r="K98" s="262">
        <f t="shared" si="11"/>
        <v>0</v>
      </c>
      <c r="L98" s="269">
        <f t="shared" si="14"/>
        <v>0</v>
      </c>
      <c r="M98" s="262"/>
      <c r="N98" s="271">
        <f>Données!S98</f>
        <v>424922.2</v>
      </c>
      <c r="O98" s="271">
        <f>Données!T98</f>
        <v>208160</v>
      </c>
      <c r="P98" s="271">
        <f>Données!U98</f>
        <v>237624.2</v>
      </c>
      <c r="Q98" s="246">
        <f>Données!V98</f>
        <v>451823.1</v>
      </c>
      <c r="R98" s="233">
        <f t="shared" si="12"/>
        <v>570900.12999999989</v>
      </c>
      <c r="S98" s="250">
        <f t="shared" si="17"/>
        <v>-669163.29138540733</v>
      </c>
      <c r="T98" s="251">
        <f t="shared" si="15"/>
        <v>-98263.161385407439</v>
      </c>
    </row>
    <row r="99" spans="1:20" x14ac:dyDescent="0.25">
      <c r="A99" s="108">
        <f>Données!A99</f>
        <v>5562</v>
      </c>
      <c r="B99" s="120" t="str">
        <f>Données!B99</f>
        <v>Mauborget</v>
      </c>
      <c r="C99" s="249">
        <f>Données!C99</f>
        <v>137</v>
      </c>
      <c r="D99" s="246">
        <f>RFS!W99</f>
        <v>399807.55305840465</v>
      </c>
      <c r="E99" s="262"/>
      <c r="F99" s="268">
        <f t="shared" si="9"/>
        <v>2918.3033069956546</v>
      </c>
      <c r="G99" s="262">
        <f t="shared" si="16"/>
        <v>-510.08869715823084</v>
      </c>
      <c r="H99" s="269">
        <f t="shared" si="10"/>
        <v>-55905.721208542105</v>
      </c>
      <c r="I99" s="241"/>
      <c r="J99" s="233">
        <f t="shared" si="13"/>
        <v>3326.3742647222393</v>
      </c>
      <c r="K99" s="262">
        <f t="shared" si="11"/>
        <v>0</v>
      </c>
      <c r="L99" s="269">
        <f t="shared" si="14"/>
        <v>0</v>
      </c>
      <c r="M99" s="262"/>
      <c r="N99" s="271">
        <f>Données!S99</f>
        <v>17435</v>
      </c>
      <c r="O99" s="271">
        <f>Données!T99</f>
        <v>19916.2</v>
      </c>
      <c r="P99" s="271">
        <f>Données!U99</f>
        <v>0</v>
      </c>
      <c r="Q99" s="246">
        <f>Données!V99</f>
        <v>0</v>
      </c>
      <c r="R99" s="233">
        <f t="shared" si="12"/>
        <v>18675.599999999999</v>
      </c>
      <c r="S99" s="250">
        <f t="shared" si="17"/>
        <v>-27034.907378295724</v>
      </c>
      <c r="T99" s="251">
        <f t="shared" si="15"/>
        <v>-8359.3073782957254</v>
      </c>
    </row>
    <row r="100" spans="1:20" x14ac:dyDescent="0.25">
      <c r="A100" s="108">
        <f>Données!A100</f>
        <v>5563</v>
      </c>
      <c r="B100" s="120" t="str">
        <f>Données!B100</f>
        <v>Mutrux</v>
      </c>
      <c r="C100" s="249">
        <f>Données!C100</f>
        <v>138</v>
      </c>
      <c r="D100" s="246">
        <f>RFS!W100</f>
        <v>256978.32471598807</v>
      </c>
      <c r="E100" s="262"/>
      <c r="F100" s="268">
        <f t="shared" si="9"/>
        <v>1862.1617733042615</v>
      </c>
      <c r="G100" s="262">
        <f t="shared" si="16"/>
        <v>-1566.2302308496239</v>
      </c>
      <c r="H100" s="269">
        <f t="shared" si="10"/>
        <v>-172911.8174857985</v>
      </c>
      <c r="I100" s="241"/>
      <c r="J100" s="233">
        <f t="shared" si="13"/>
        <v>3115.1459579839607</v>
      </c>
      <c r="K100" s="262">
        <f t="shared" si="11"/>
        <v>0</v>
      </c>
      <c r="L100" s="269">
        <f t="shared" si="14"/>
        <v>0</v>
      </c>
      <c r="M100" s="262"/>
      <c r="N100" s="271">
        <f>Données!S100</f>
        <v>11321.45</v>
      </c>
      <c r="O100" s="271">
        <f>Données!T100</f>
        <v>0</v>
      </c>
      <c r="P100" s="271">
        <f>Données!U100</f>
        <v>-9079.15</v>
      </c>
      <c r="Q100" s="246">
        <f>Données!V100</f>
        <v>534.29999999999995</v>
      </c>
      <c r="R100" s="233">
        <f t="shared" si="12"/>
        <v>1281.4400000000005</v>
      </c>
      <c r="S100" s="250">
        <f t="shared" si="17"/>
        <v>-27232.242468648248</v>
      </c>
      <c r="T100" s="251">
        <f t="shared" si="15"/>
        <v>-25950.802468648246</v>
      </c>
    </row>
    <row r="101" spans="1:20" x14ac:dyDescent="0.25">
      <c r="A101" s="108">
        <f>Données!A101</f>
        <v>5564</v>
      </c>
      <c r="B101" s="120" t="str">
        <f>Données!B101</f>
        <v>Novalles</v>
      </c>
      <c r="C101" s="249">
        <f>Données!C101</f>
        <v>105</v>
      </c>
      <c r="D101" s="246">
        <f>RFS!W101</f>
        <v>167023.47721408575</v>
      </c>
      <c r="E101" s="262"/>
      <c r="F101" s="268">
        <f t="shared" si="9"/>
        <v>1590.699782991293</v>
      </c>
      <c r="G101" s="262">
        <f t="shared" si="16"/>
        <v>-1837.6922211625924</v>
      </c>
      <c r="H101" s="269">
        <f t="shared" si="10"/>
        <v>-154366.14657765775</v>
      </c>
      <c r="I101" s="241"/>
      <c r="J101" s="233">
        <f t="shared" si="13"/>
        <v>3060.8535599213669</v>
      </c>
      <c r="K101" s="262">
        <f t="shared" si="11"/>
        <v>-24.699243817130082</v>
      </c>
      <c r="L101" s="269">
        <f t="shared" si="14"/>
        <v>-2593</v>
      </c>
      <c r="M101" s="262"/>
      <c r="N101" s="271">
        <f>Données!S101</f>
        <v>7135.35</v>
      </c>
      <c r="O101" s="271">
        <f>Données!T101</f>
        <v>0</v>
      </c>
      <c r="P101" s="271">
        <f>Données!U101</f>
        <v>22220.25</v>
      </c>
      <c r="Q101" s="246">
        <f>Données!V101</f>
        <v>0</v>
      </c>
      <c r="R101" s="233">
        <f t="shared" si="12"/>
        <v>14677.8</v>
      </c>
      <c r="S101" s="250">
        <f t="shared" si="17"/>
        <v>-20720.184487014973</v>
      </c>
      <c r="T101" s="251">
        <f t="shared" si="15"/>
        <v>-6042.3844870149733</v>
      </c>
    </row>
    <row r="102" spans="1:20" x14ac:dyDescent="0.25">
      <c r="A102" s="108">
        <f>Données!A102</f>
        <v>5565</v>
      </c>
      <c r="B102" s="120" t="str">
        <f>Données!B102</f>
        <v>Onnens</v>
      </c>
      <c r="C102" s="249">
        <f>Données!C102</f>
        <v>527</v>
      </c>
      <c r="D102" s="246">
        <f>RFS!W102</f>
        <v>1188098.7686321388</v>
      </c>
      <c r="E102" s="262"/>
      <c r="F102" s="268">
        <f t="shared" si="9"/>
        <v>2254.4568664746466</v>
      </c>
      <c r="G102" s="262">
        <f t="shared" si="16"/>
        <v>-1173.9351376792388</v>
      </c>
      <c r="H102" s="269">
        <f t="shared" si="10"/>
        <v>-494931.05404556706</v>
      </c>
      <c r="I102" s="241"/>
      <c r="J102" s="233">
        <f t="shared" si="13"/>
        <v>3193.6049766180377</v>
      </c>
      <c r="K102" s="262">
        <f t="shared" si="11"/>
        <v>0</v>
      </c>
      <c r="L102" s="269">
        <f t="shared" si="14"/>
        <v>0</v>
      </c>
      <c r="M102" s="262"/>
      <c r="N102" s="271">
        <f>Données!S102</f>
        <v>68046.7</v>
      </c>
      <c r="O102" s="271">
        <f>Données!T102</f>
        <v>0</v>
      </c>
      <c r="P102" s="271">
        <f>Données!U102</f>
        <v>44406.3</v>
      </c>
      <c r="Q102" s="246">
        <f>Données!V102</f>
        <v>71007.8</v>
      </c>
      <c r="R102" s="233">
        <f t="shared" si="12"/>
        <v>77528.84</v>
      </c>
      <c r="S102" s="250">
        <f t="shared" si="17"/>
        <v>-103995.5926157799</v>
      </c>
      <c r="T102" s="251">
        <f t="shared" si="15"/>
        <v>-26466.7526157799</v>
      </c>
    </row>
    <row r="103" spans="1:20" x14ac:dyDescent="0.25">
      <c r="A103" s="108">
        <f>Données!A103</f>
        <v>5566</v>
      </c>
      <c r="B103" s="120" t="str">
        <f>Données!B103</f>
        <v>Provence</v>
      </c>
      <c r="C103" s="249">
        <f>Données!C103</f>
        <v>421</v>
      </c>
      <c r="D103" s="246">
        <f>RFS!W103</f>
        <v>708471.7880097063</v>
      </c>
      <c r="E103" s="262"/>
      <c r="F103" s="268">
        <f t="shared" si="9"/>
        <v>1682.8308503793498</v>
      </c>
      <c r="G103" s="262">
        <f t="shared" si="16"/>
        <v>-1745.5611537745356</v>
      </c>
      <c r="H103" s="269">
        <f t="shared" si="10"/>
        <v>-587904.99659126368</v>
      </c>
      <c r="I103" s="241"/>
      <c r="J103" s="233">
        <f t="shared" si="13"/>
        <v>3079.2797733989783</v>
      </c>
      <c r="K103" s="262">
        <f t="shared" si="11"/>
        <v>-6.2730303395187548</v>
      </c>
      <c r="L103" s="269">
        <f t="shared" si="14"/>
        <v>-2641</v>
      </c>
      <c r="M103" s="262"/>
      <c r="N103" s="271">
        <f>Données!S103</f>
        <v>24703.200000000001</v>
      </c>
      <c r="O103" s="271">
        <f>Données!T103</f>
        <v>655.29999999999995</v>
      </c>
      <c r="P103" s="271">
        <f>Données!U103</f>
        <v>47503.55</v>
      </c>
      <c r="Q103" s="246">
        <f>Données!V103</f>
        <v>47758.1</v>
      </c>
      <c r="R103" s="233">
        <f t="shared" si="12"/>
        <v>50758.455000000002</v>
      </c>
      <c r="S103" s="250">
        <f t="shared" si="17"/>
        <v>-83078.073038412404</v>
      </c>
      <c r="T103" s="251">
        <f t="shared" si="15"/>
        <v>-32319.618038412402</v>
      </c>
    </row>
    <row r="104" spans="1:20" x14ac:dyDescent="0.25">
      <c r="A104" s="108">
        <f>Données!A104</f>
        <v>5568</v>
      </c>
      <c r="B104" s="120" t="str">
        <f>Données!B104</f>
        <v>Sainte-Croix</v>
      </c>
      <c r="C104" s="249">
        <f>Données!C104</f>
        <v>5149</v>
      </c>
      <c r="D104" s="246">
        <f>RFS!W104</f>
        <v>7864291.4099333892</v>
      </c>
      <c r="E104" s="262"/>
      <c r="F104" s="268">
        <f t="shared" si="9"/>
        <v>1527.3434472583781</v>
      </c>
      <c r="G104" s="262">
        <f t="shared" si="16"/>
        <v>-1901.0485568955073</v>
      </c>
      <c r="H104" s="269">
        <f t="shared" si="10"/>
        <v>-7830799.2155639734</v>
      </c>
      <c r="I104" s="241"/>
      <c r="J104" s="233">
        <f t="shared" si="13"/>
        <v>3048.1822927747839</v>
      </c>
      <c r="K104" s="262">
        <f t="shared" si="11"/>
        <v>-37.370510963713059</v>
      </c>
      <c r="L104" s="269">
        <f t="shared" si="14"/>
        <v>-192421</v>
      </c>
      <c r="M104" s="262"/>
      <c r="N104" s="271">
        <f>Données!S104</f>
        <v>317511.25</v>
      </c>
      <c r="O104" s="271">
        <f>Données!T104</f>
        <v>243562.2</v>
      </c>
      <c r="P104" s="271">
        <f>Données!U104</f>
        <v>246992.25</v>
      </c>
      <c r="Q104" s="246">
        <f>Données!V104</f>
        <v>2851337.55</v>
      </c>
      <c r="R104" s="233">
        <f t="shared" si="12"/>
        <v>1259434.1149999998</v>
      </c>
      <c r="S104" s="250">
        <f t="shared" si="17"/>
        <v>-1016078.3802251437</v>
      </c>
      <c r="T104" s="251">
        <f t="shared" si="15"/>
        <v>243355.73477485601</v>
      </c>
    </row>
    <row r="105" spans="1:20" x14ac:dyDescent="0.25">
      <c r="A105" s="108">
        <f>Données!A105</f>
        <v>5571</v>
      </c>
      <c r="B105" s="120" t="str">
        <f>Données!B105</f>
        <v>Tévenon</v>
      </c>
      <c r="C105" s="249">
        <f>Données!C105</f>
        <v>857</v>
      </c>
      <c r="D105" s="246">
        <f>RFS!W105</f>
        <v>1836801.9410898378</v>
      </c>
      <c r="E105" s="262"/>
      <c r="F105" s="268">
        <f t="shared" si="9"/>
        <v>2143.2928134070453</v>
      </c>
      <c r="G105" s="262">
        <f t="shared" si="16"/>
        <v>-1285.0991907468401</v>
      </c>
      <c r="H105" s="269">
        <f t="shared" si="10"/>
        <v>-881064.00517603359</v>
      </c>
      <c r="I105" s="241"/>
      <c r="J105" s="233">
        <f t="shared" si="13"/>
        <v>3171.3721660045176</v>
      </c>
      <c r="K105" s="262">
        <f t="shared" si="11"/>
        <v>0</v>
      </c>
      <c r="L105" s="269">
        <f t="shared" si="14"/>
        <v>0</v>
      </c>
      <c r="M105" s="262"/>
      <c r="N105" s="271">
        <f>Données!S105</f>
        <v>116709.3</v>
      </c>
      <c r="O105" s="271">
        <f>Données!T105</f>
        <v>92909.7</v>
      </c>
      <c r="P105" s="271">
        <f>Données!U105</f>
        <v>89439.45</v>
      </c>
      <c r="Q105" s="246">
        <f>Données!V105</f>
        <v>39646.25</v>
      </c>
      <c r="R105" s="233">
        <f t="shared" si="12"/>
        <v>161423.1</v>
      </c>
      <c r="S105" s="250">
        <f t="shared" si="17"/>
        <v>-169116.17243211268</v>
      </c>
      <c r="T105" s="251">
        <f t="shared" si="15"/>
        <v>-7693.0724321126763</v>
      </c>
    </row>
    <row r="106" spans="1:20" x14ac:dyDescent="0.25">
      <c r="A106" s="108">
        <f>Données!A106</f>
        <v>5581</v>
      </c>
      <c r="B106" s="120" t="str">
        <f>Données!B106</f>
        <v>Belmont-sur-Lausanne</v>
      </c>
      <c r="C106" s="249">
        <f>Données!C106</f>
        <v>3891</v>
      </c>
      <c r="D106" s="246">
        <f>RFS!W106</f>
        <v>14739604.481222721</v>
      </c>
      <c r="E106" s="262"/>
      <c r="F106" s="268">
        <f t="shared" si="9"/>
        <v>3788.1275973330044</v>
      </c>
      <c r="G106" s="262">
        <f t="shared" si="16"/>
        <v>359.73559317911895</v>
      </c>
      <c r="H106" s="269">
        <f t="shared" si="10"/>
        <v>1119784.9544479616</v>
      </c>
      <c r="I106" s="241"/>
      <c r="J106" s="233">
        <f t="shared" si="13"/>
        <v>3500.3391227897091</v>
      </c>
      <c r="K106" s="262">
        <f t="shared" si="11"/>
        <v>0</v>
      </c>
      <c r="L106" s="269">
        <f t="shared" si="14"/>
        <v>0</v>
      </c>
      <c r="M106" s="262"/>
      <c r="N106" s="271">
        <f>Données!S106</f>
        <v>1136916.3999999999</v>
      </c>
      <c r="O106" s="271">
        <f>Données!T106</f>
        <v>85186.6</v>
      </c>
      <c r="P106" s="271">
        <f>Données!U106</f>
        <v>502708.15</v>
      </c>
      <c r="Q106" s="246">
        <f>Données!V106</f>
        <v>5661.45</v>
      </c>
      <c r="R106" s="233">
        <f t="shared" si="12"/>
        <v>864104.01</v>
      </c>
      <c r="S106" s="250">
        <f t="shared" si="17"/>
        <v>-767830.83656166913</v>
      </c>
      <c r="T106" s="251">
        <f t="shared" si="15"/>
        <v>96273.173438330879</v>
      </c>
    </row>
    <row r="107" spans="1:20" x14ac:dyDescent="0.25">
      <c r="A107" s="108">
        <f>Données!A107</f>
        <v>5582</v>
      </c>
      <c r="B107" s="120" t="str">
        <f>Données!B107</f>
        <v>Cheseaux-sur-Lausanne</v>
      </c>
      <c r="C107" s="249">
        <f>Données!C107</f>
        <v>4870</v>
      </c>
      <c r="D107" s="246">
        <f>RFS!W107</f>
        <v>12445381.64040141</v>
      </c>
      <c r="E107" s="262"/>
      <c r="F107" s="268">
        <f t="shared" si="9"/>
        <v>2555.5198440249301</v>
      </c>
      <c r="G107" s="262">
        <f t="shared" si="16"/>
        <v>-872.87216012895533</v>
      </c>
      <c r="H107" s="269">
        <f t="shared" si="10"/>
        <v>-3400709.9358624103</v>
      </c>
      <c r="I107" s="241"/>
      <c r="J107" s="233">
        <f t="shared" si="13"/>
        <v>3253.8175721280945</v>
      </c>
      <c r="K107" s="262">
        <f t="shared" si="11"/>
        <v>0</v>
      </c>
      <c r="L107" s="269">
        <f t="shared" si="14"/>
        <v>0</v>
      </c>
      <c r="M107" s="262"/>
      <c r="N107" s="271">
        <f>Données!S107</f>
        <v>322410.15000000002</v>
      </c>
      <c r="O107" s="271">
        <f>Données!T107</f>
        <v>131620.9</v>
      </c>
      <c r="P107" s="271">
        <f>Données!U107</f>
        <v>425956.7</v>
      </c>
      <c r="Q107" s="246">
        <f>Données!V107</f>
        <v>505776.35</v>
      </c>
      <c r="R107" s="233">
        <f t="shared" si="12"/>
        <v>591726.78</v>
      </c>
      <c r="S107" s="250">
        <f t="shared" si="17"/>
        <v>-961021.89001678966</v>
      </c>
      <c r="T107" s="251">
        <f t="shared" si="15"/>
        <v>-369295.11001678964</v>
      </c>
    </row>
    <row r="108" spans="1:20" x14ac:dyDescent="0.25">
      <c r="A108" s="108">
        <f>Données!A108</f>
        <v>5583</v>
      </c>
      <c r="B108" s="120" t="str">
        <f>Données!B108</f>
        <v>Crissier</v>
      </c>
      <c r="C108" s="249">
        <f>Données!C108</f>
        <v>11116</v>
      </c>
      <c r="D108" s="246">
        <f>RFS!W108</f>
        <v>34456772.799264416</v>
      </c>
      <c r="E108" s="262"/>
      <c r="F108" s="268">
        <f t="shared" si="9"/>
        <v>3099.745663841707</v>
      </c>
      <c r="G108" s="262">
        <f t="shared" si="16"/>
        <v>-328.64634031217838</v>
      </c>
      <c r="H108" s="269">
        <f t="shared" si="10"/>
        <v>-2922586.17512814</v>
      </c>
      <c r="I108" s="241"/>
      <c r="J108" s="233">
        <f t="shared" si="13"/>
        <v>3362.6627360914499</v>
      </c>
      <c r="K108" s="262">
        <f t="shared" si="11"/>
        <v>0</v>
      </c>
      <c r="L108" s="269">
        <f t="shared" si="14"/>
        <v>0</v>
      </c>
      <c r="M108" s="262"/>
      <c r="N108" s="271">
        <f>Données!S108</f>
        <v>1009044.6</v>
      </c>
      <c r="O108" s="271">
        <f>Données!T108</f>
        <v>-822886</v>
      </c>
      <c r="P108" s="271">
        <f>Données!U108</f>
        <v>1380028.85</v>
      </c>
      <c r="Q108" s="246">
        <f>Données!V108</f>
        <v>3070245.7</v>
      </c>
      <c r="R108" s="233">
        <f t="shared" si="12"/>
        <v>1704167.4350000001</v>
      </c>
      <c r="S108" s="250">
        <f t="shared" si="17"/>
        <v>-2193576.8643586515</v>
      </c>
      <c r="T108" s="251">
        <f t="shared" si="15"/>
        <v>-489409.4293586514</v>
      </c>
    </row>
    <row r="109" spans="1:20" x14ac:dyDescent="0.25">
      <c r="A109" s="108">
        <f>Données!A109</f>
        <v>5584</v>
      </c>
      <c r="B109" s="120" t="str">
        <f>Données!B109</f>
        <v>Epalinges</v>
      </c>
      <c r="C109" s="249">
        <f>Données!C109</f>
        <v>9869</v>
      </c>
      <c r="D109" s="246">
        <f>RFS!W109</f>
        <v>35128946.653851591</v>
      </c>
      <c r="E109" s="262"/>
      <c r="F109" s="268">
        <f t="shared" si="9"/>
        <v>3559.5244354900792</v>
      </c>
      <c r="G109" s="262">
        <f t="shared" si="16"/>
        <v>131.1324313361938</v>
      </c>
      <c r="H109" s="269">
        <f t="shared" si="10"/>
        <v>1035316.7718855174</v>
      </c>
      <c r="I109" s="241"/>
      <c r="J109" s="233">
        <f t="shared" si="13"/>
        <v>3454.6184904211245</v>
      </c>
      <c r="K109" s="262">
        <f t="shared" si="11"/>
        <v>0</v>
      </c>
      <c r="L109" s="269">
        <f t="shared" si="14"/>
        <v>0</v>
      </c>
      <c r="M109" s="262"/>
      <c r="N109" s="271">
        <f>Données!S109</f>
        <v>941466.35</v>
      </c>
      <c r="O109" s="271">
        <f>Données!T109</f>
        <v>216741.4</v>
      </c>
      <c r="P109" s="271">
        <f>Données!U109</f>
        <v>768063.05</v>
      </c>
      <c r="Q109" s="246">
        <f>Données!V109</f>
        <v>363716.55</v>
      </c>
      <c r="R109" s="233">
        <f t="shared" si="12"/>
        <v>1072250.365</v>
      </c>
      <c r="S109" s="250">
        <f t="shared" si="17"/>
        <v>-1947500.0066890549</v>
      </c>
      <c r="T109" s="251">
        <f t="shared" si="15"/>
        <v>-875249.6416890549</v>
      </c>
    </row>
    <row r="110" spans="1:20" x14ac:dyDescent="0.25">
      <c r="A110" s="108">
        <f>Données!A110</f>
        <v>5585</v>
      </c>
      <c r="B110" s="120" t="str">
        <f>Données!B110</f>
        <v>Jouxtens-Mézery</v>
      </c>
      <c r="C110" s="249">
        <f>Données!C110</f>
        <v>1455</v>
      </c>
      <c r="D110" s="246">
        <f>RFS!W110</f>
        <v>17294369.609826811</v>
      </c>
      <c r="E110" s="262"/>
      <c r="F110" s="268">
        <f t="shared" si="9"/>
        <v>11886.164680293341</v>
      </c>
      <c r="G110" s="262">
        <f t="shared" si="16"/>
        <v>8457.7726761394551</v>
      </c>
      <c r="H110" s="269">
        <f t="shared" si="10"/>
        <v>9844847.3950263262</v>
      </c>
      <c r="I110" s="241"/>
      <c r="J110" s="233">
        <f t="shared" si="13"/>
        <v>5119.9465393817763</v>
      </c>
      <c r="K110" s="262">
        <f t="shared" si="11"/>
        <v>0</v>
      </c>
      <c r="L110" s="269">
        <f t="shared" si="14"/>
        <v>0</v>
      </c>
      <c r="M110" s="262"/>
      <c r="N110" s="271">
        <f>Données!S110</f>
        <v>498296.7</v>
      </c>
      <c r="O110" s="271">
        <f>Données!T110</f>
        <v>30690</v>
      </c>
      <c r="P110" s="271">
        <f>Données!U110</f>
        <v>634456.25</v>
      </c>
      <c r="Q110" s="246">
        <f>Données!V110</f>
        <v>2416.85</v>
      </c>
      <c r="R110" s="233">
        <f t="shared" si="12"/>
        <v>582446.53</v>
      </c>
      <c r="S110" s="250">
        <f t="shared" si="17"/>
        <v>-287122.55646292173</v>
      </c>
      <c r="T110" s="251">
        <f t="shared" si="15"/>
        <v>295323.9735370783</v>
      </c>
    </row>
    <row r="111" spans="1:20" x14ac:dyDescent="0.25">
      <c r="A111" s="108">
        <f>Données!A111</f>
        <v>5586</v>
      </c>
      <c r="B111" s="120" t="str">
        <f>Données!B111</f>
        <v>Lausanne</v>
      </c>
      <c r="C111" s="249">
        <f>Données!C111</f>
        <v>145707</v>
      </c>
      <c r="D111" s="246">
        <f>RFS!W111</f>
        <v>504836233.41830653</v>
      </c>
      <c r="E111" s="262"/>
      <c r="F111" s="268">
        <f t="shared" si="9"/>
        <v>3464.7356229852135</v>
      </c>
      <c r="G111" s="262">
        <f t="shared" si="16"/>
        <v>36.343618831328058</v>
      </c>
      <c r="H111" s="269">
        <f t="shared" si="10"/>
        <v>4236415.7352450546</v>
      </c>
      <c r="I111" s="241"/>
      <c r="J111" s="233">
        <f t="shared" si="13"/>
        <v>3435.6607279201512</v>
      </c>
      <c r="K111" s="262">
        <f t="shared" si="11"/>
        <v>0</v>
      </c>
      <c r="L111" s="269">
        <f t="shared" si="14"/>
        <v>0</v>
      </c>
      <c r="M111" s="262"/>
      <c r="N111" s="271">
        <f>Données!S111</f>
        <v>13731767.050000001</v>
      </c>
      <c r="O111" s="271">
        <f>Données!T111</f>
        <v>19331516.899999999</v>
      </c>
      <c r="P111" s="271">
        <f>Données!U111</f>
        <v>7977174.5499999998</v>
      </c>
      <c r="Q111" s="246">
        <f>Données!V111</f>
        <v>16707715.25</v>
      </c>
      <c r="R111" s="233">
        <f t="shared" si="12"/>
        <v>25532543.824999999</v>
      </c>
      <c r="S111" s="250">
        <f t="shared" si="17"/>
        <v>-28753104.009995148</v>
      </c>
      <c r="T111" s="251">
        <f t="shared" si="15"/>
        <v>-3220560.1849951483</v>
      </c>
    </row>
    <row r="112" spans="1:20" x14ac:dyDescent="0.25">
      <c r="A112" s="108">
        <f>Données!A112</f>
        <v>5587</v>
      </c>
      <c r="B112" s="120" t="str">
        <f>Données!B112</f>
        <v>Le Mont-sur-Lausanne</v>
      </c>
      <c r="C112" s="249">
        <f>Données!C112</f>
        <v>9785</v>
      </c>
      <c r="D112" s="246">
        <f>RFS!W112</f>
        <v>36813233.207739219</v>
      </c>
      <c r="E112" s="262"/>
      <c r="F112" s="268">
        <f t="shared" si="9"/>
        <v>3762.2108541378866</v>
      </c>
      <c r="G112" s="262">
        <f t="shared" si="16"/>
        <v>333.81884998400119</v>
      </c>
      <c r="H112" s="269">
        <f t="shared" si="10"/>
        <v>2613133.9576747613</v>
      </c>
      <c r="I112" s="241"/>
      <c r="J112" s="233">
        <f t="shared" si="13"/>
        <v>3495.1557741506854</v>
      </c>
      <c r="K112" s="262">
        <f t="shared" si="11"/>
        <v>0</v>
      </c>
      <c r="L112" s="269">
        <f t="shared" si="14"/>
        <v>0</v>
      </c>
      <c r="M112" s="262"/>
      <c r="N112" s="271">
        <f>Données!S112</f>
        <v>1971861.8</v>
      </c>
      <c r="O112" s="271">
        <f>Données!T112</f>
        <v>541454</v>
      </c>
      <c r="P112" s="271">
        <f>Données!U112</f>
        <v>1077944.1000000001</v>
      </c>
      <c r="Q112" s="246">
        <f>Données!V112</f>
        <v>906820.8</v>
      </c>
      <c r="R112" s="233">
        <f t="shared" si="12"/>
        <v>2067676.19</v>
      </c>
      <c r="S112" s="250">
        <f t="shared" si="17"/>
        <v>-1930923.8590994428</v>
      </c>
      <c r="T112" s="251">
        <f t="shared" si="15"/>
        <v>136752.33090055711</v>
      </c>
    </row>
    <row r="113" spans="1:20" x14ac:dyDescent="0.25">
      <c r="A113" s="108">
        <f>Données!A113</f>
        <v>5588</v>
      </c>
      <c r="B113" s="120" t="str">
        <f>Données!B113</f>
        <v>Paudex</v>
      </c>
      <c r="C113" s="249">
        <f>Données!C113</f>
        <v>1483</v>
      </c>
      <c r="D113" s="246">
        <f>RFS!W113</f>
        <v>7630674.5343403509</v>
      </c>
      <c r="E113" s="262"/>
      <c r="F113" s="268">
        <f t="shared" si="9"/>
        <v>5145.4312436549908</v>
      </c>
      <c r="G113" s="262">
        <f t="shared" si="16"/>
        <v>1717.0392395011054</v>
      </c>
      <c r="H113" s="269">
        <f t="shared" si="10"/>
        <v>2037095.3537441115</v>
      </c>
      <c r="I113" s="241"/>
      <c r="J113" s="233">
        <f t="shared" si="13"/>
        <v>3771.7998520541064</v>
      </c>
      <c r="K113" s="262">
        <f t="shared" si="11"/>
        <v>0</v>
      </c>
      <c r="L113" s="269">
        <f t="shared" si="14"/>
        <v>0</v>
      </c>
      <c r="M113" s="262"/>
      <c r="N113" s="271">
        <f>Données!S113</f>
        <v>336969.45</v>
      </c>
      <c r="O113" s="271">
        <f>Données!T113</f>
        <v>0</v>
      </c>
      <c r="P113" s="271">
        <f>Données!U113</f>
        <v>343280.95</v>
      </c>
      <c r="Q113" s="246">
        <f>Données!V113</f>
        <v>29259.45</v>
      </c>
      <c r="R113" s="233">
        <f t="shared" si="12"/>
        <v>348903.03500000003</v>
      </c>
      <c r="S113" s="250">
        <f t="shared" si="17"/>
        <v>-292647.93899279239</v>
      </c>
      <c r="T113" s="251">
        <f t="shared" si="15"/>
        <v>56255.096007207641</v>
      </c>
    </row>
    <row r="114" spans="1:20" x14ac:dyDescent="0.25">
      <c r="A114" s="108">
        <f>Données!A114</f>
        <v>5589</v>
      </c>
      <c r="B114" s="120" t="str">
        <f>Données!B114</f>
        <v>Prilly</v>
      </c>
      <c r="C114" s="249">
        <f>Données!C114</f>
        <v>13069</v>
      </c>
      <c r="D114" s="246">
        <f>RFS!W114</f>
        <v>33005420.454565648</v>
      </c>
      <c r="E114" s="262"/>
      <c r="F114" s="268">
        <f t="shared" si="9"/>
        <v>2525.4740572779592</v>
      </c>
      <c r="G114" s="262">
        <f t="shared" si="16"/>
        <v>-902.91794687592619</v>
      </c>
      <c r="H114" s="269">
        <f t="shared" si="10"/>
        <v>-9440187.7181771845</v>
      </c>
      <c r="I114" s="241"/>
      <c r="J114" s="233">
        <f t="shared" si="13"/>
        <v>3247.8084147786999</v>
      </c>
      <c r="K114" s="262">
        <f t="shared" si="11"/>
        <v>0</v>
      </c>
      <c r="L114" s="269">
        <f t="shared" si="14"/>
        <v>0</v>
      </c>
      <c r="M114" s="262"/>
      <c r="N114" s="271">
        <f>Données!S114</f>
        <v>2288209.35</v>
      </c>
      <c r="O114" s="271">
        <f>Données!T114</f>
        <v>144425.20000000001</v>
      </c>
      <c r="P114" s="271">
        <f>Données!U114</f>
        <v>557284.19999999995</v>
      </c>
      <c r="Q114" s="246">
        <f>Données!V114</f>
        <v>1852716.65</v>
      </c>
      <c r="R114" s="233">
        <f t="shared" si="12"/>
        <v>2050774.37</v>
      </c>
      <c r="S114" s="250">
        <f t="shared" si="17"/>
        <v>-2578972.2958171302</v>
      </c>
      <c r="T114" s="251">
        <f t="shared" si="15"/>
        <v>-528197.92581713013</v>
      </c>
    </row>
    <row r="115" spans="1:20" x14ac:dyDescent="0.25">
      <c r="A115" s="108">
        <f>Données!A115</f>
        <v>5590</v>
      </c>
      <c r="B115" s="120" t="str">
        <f>Données!B115</f>
        <v>Pully</v>
      </c>
      <c r="C115" s="249">
        <f>Données!C115</f>
        <v>19550</v>
      </c>
      <c r="D115" s="246">
        <f>RFS!W115</f>
        <v>114707847.98689903</v>
      </c>
      <c r="E115" s="262"/>
      <c r="F115" s="268">
        <f t="shared" si="9"/>
        <v>5867.4091041892088</v>
      </c>
      <c r="G115" s="262">
        <f t="shared" si="16"/>
        <v>2439.0171000353234</v>
      </c>
      <c r="H115" s="269">
        <f t="shared" si="10"/>
        <v>38146227.444552459</v>
      </c>
      <c r="I115" s="241"/>
      <c r="J115" s="233">
        <f t="shared" si="13"/>
        <v>3916.1954241609496</v>
      </c>
      <c r="K115" s="262">
        <f t="shared" si="11"/>
        <v>0</v>
      </c>
      <c r="L115" s="269">
        <f t="shared" si="14"/>
        <v>0</v>
      </c>
      <c r="M115" s="262"/>
      <c r="N115" s="271">
        <f>Données!S115</f>
        <v>3528086.5</v>
      </c>
      <c r="O115" s="271">
        <f>Données!T115</f>
        <v>3445713.9</v>
      </c>
      <c r="P115" s="271">
        <f>Données!U115</f>
        <v>2934534.3</v>
      </c>
      <c r="Q115" s="246">
        <f>Données!V115</f>
        <v>195893.7</v>
      </c>
      <c r="R115" s="233">
        <f t="shared" si="12"/>
        <v>5012935.46</v>
      </c>
      <c r="S115" s="250">
        <f t="shared" si="17"/>
        <v>-3857901.0163918352</v>
      </c>
      <c r="T115" s="251">
        <f t="shared" si="15"/>
        <v>1155034.4436081648</v>
      </c>
    </row>
    <row r="116" spans="1:20" x14ac:dyDescent="0.25">
      <c r="A116" s="108">
        <f>Données!A116</f>
        <v>5591</v>
      </c>
      <c r="B116" s="120" t="str">
        <f>Données!B116</f>
        <v>Renens</v>
      </c>
      <c r="C116" s="249">
        <f>Données!C116</f>
        <v>21827</v>
      </c>
      <c r="D116" s="246">
        <f>RFS!W116</f>
        <v>45381383.018212244</v>
      </c>
      <c r="E116" s="262"/>
      <c r="F116" s="268">
        <f t="shared" si="9"/>
        <v>2079.1397360247511</v>
      </c>
      <c r="G116" s="262">
        <f t="shared" si="16"/>
        <v>-1349.2522681291343</v>
      </c>
      <c r="H116" s="269">
        <f t="shared" si="10"/>
        <v>-23560103.405163694</v>
      </c>
      <c r="I116" s="241"/>
      <c r="J116" s="233">
        <f t="shared" si="13"/>
        <v>3158.5415505280585</v>
      </c>
      <c r="K116" s="262">
        <f t="shared" si="11"/>
        <v>0</v>
      </c>
      <c r="L116" s="269">
        <f t="shared" si="14"/>
        <v>0</v>
      </c>
      <c r="M116" s="262"/>
      <c r="N116" s="271">
        <f>Données!S116</f>
        <v>1838633.35</v>
      </c>
      <c r="O116" s="271">
        <f>Données!T116</f>
        <v>917113</v>
      </c>
      <c r="P116" s="271">
        <f>Données!U116</f>
        <v>634764.6</v>
      </c>
      <c r="Q116" s="246">
        <f>Données!V116</f>
        <v>3648812.85</v>
      </c>
      <c r="R116" s="233">
        <f t="shared" si="12"/>
        <v>2789899.33</v>
      </c>
      <c r="S116" s="250">
        <f t="shared" si="17"/>
        <v>-4307233.0171245309</v>
      </c>
      <c r="T116" s="251">
        <f t="shared" si="15"/>
        <v>-1517333.6871245308</v>
      </c>
    </row>
    <row r="117" spans="1:20" x14ac:dyDescent="0.25">
      <c r="A117" s="108">
        <f>Données!A117</f>
        <v>5592</v>
      </c>
      <c r="B117" s="120" t="str">
        <f>Données!B117</f>
        <v>Romanel-sur-Lausanne</v>
      </c>
      <c r="C117" s="249">
        <f>Données!C117</f>
        <v>4331</v>
      </c>
      <c r="D117" s="246">
        <f>RFS!W117</f>
        <v>10056752.961885396</v>
      </c>
      <c r="E117" s="262"/>
      <c r="F117" s="268">
        <f t="shared" si="9"/>
        <v>2322.0394739980134</v>
      </c>
      <c r="G117" s="262">
        <f t="shared" si="16"/>
        <v>-1106.352530155872</v>
      </c>
      <c r="H117" s="269">
        <f t="shared" si="10"/>
        <v>-3833290.2464840654</v>
      </c>
      <c r="I117" s="241"/>
      <c r="J117" s="233">
        <f t="shared" si="13"/>
        <v>3207.1214981227113</v>
      </c>
      <c r="K117" s="262">
        <f t="shared" si="11"/>
        <v>0</v>
      </c>
      <c r="L117" s="269">
        <f t="shared" si="14"/>
        <v>0</v>
      </c>
      <c r="M117" s="262"/>
      <c r="N117" s="271">
        <f>Données!S117</f>
        <v>597966.85</v>
      </c>
      <c r="O117" s="271">
        <f>Données!T117</f>
        <v>45882.1</v>
      </c>
      <c r="P117" s="271">
        <f>Données!U117</f>
        <v>748247.7</v>
      </c>
      <c r="Q117" s="246">
        <f>Données!V117</f>
        <v>587481.59999999998</v>
      </c>
      <c r="R117" s="233">
        <f t="shared" si="12"/>
        <v>872292.80499999993</v>
      </c>
      <c r="S117" s="250">
        <f t="shared" si="17"/>
        <v>-854658.27631677943</v>
      </c>
      <c r="T117" s="251">
        <f t="shared" si="15"/>
        <v>17634.528683220502</v>
      </c>
    </row>
    <row r="118" spans="1:20" x14ac:dyDescent="0.25">
      <c r="A118" s="108">
        <f>Données!A118</f>
        <v>5601</v>
      </c>
      <c r="B118" s="120" t="str">
        <f>Données!B118</f>
        <v>Chexbres</v>
      </c>
      <c r="C118" s="249">
        <f>Données!C118</f>
        <v>2272</v>
      </c>
      <c r="D118" s="246">
        <f>RFS!W118</f>
        <v>7817377.011505397</v>
      </c>
      <c r="E118" s="262"/>
      <c r="F118" s="268">
        <f t="shared" si="9"/>
        <v>3440.7469240780797</v>
      </c>
      <c r="G118" s="262">
        <f t="shared" si="16"/>
        <v>12.354919924194292</v>
      </c>
      <c r="H118" s="269">
        <f t="shared" si="10"/>
        <v>22456.302454215544</v>
      </c>
      <c r="I118" s="241"/>
      <c r="J118" s="233">
        <f t="shared" si="13"/>
        <v>3430.8629881387242</v>
      </c>
      <c r="K118" s="262">
        <f t="shared" si="11"/>
        <v>0</v>
      </c>
      <c r="L118" s="269">
        <f t="shared" si="14"/>
        <v>0</v>
      </c>
      <c r="M118" s="262"/>
      <c r="N118" s="271">
        <f>Données!S118</f>
        <v>429973.35</v>
      </c>
      <c r="O118" s="271">
        <f>Données!T118</f>
        <v>1202237.8999999999</v>
      </c>
      <c r="P118" s="271">
        <f>Données!U118</f>
        <v>238256.4</v>
      </c>
      <c r="Q118" s="246">
        <f>Données!V118</f>
        <v>51407.6</v>
      </c>
      <c r="R118" s="233">
        <f t="shared" si="12"/>
        <v>950656.10499999998</v>
      </c>
      <c r="S118" s="250">
        <f t="shared" si="17"/>
        <v>-448345.32528093347</v>
      </c>
      <c r="T118" s="251">
        <f t="shared" si="15"/>
        <v>502310.77971906652</v>
      </c>
    </row>
    <row r="119" spans="1:20" x14ac:dyDescent="0.25">
      <c r="A119" s="108">
        <f>Données!A119</f>
        <v>5604</v>
      </c>
      <c r="B119" s="120" t="str">
        <f>Données!B119</f>
        <v>Forel (Lavaux)</v>
      </c>
      <c r="C119" s="249">
        <f>Données!C119</f>
        <v>2113</v>
      </c>
      <c r="D119" s="246">
        <f>RFS!W119</f>
        <v>5635895.3878879379</v>
      </c>
      <c r="E119" s="262"/>
      <c r="F119" s="268">
        <f t="shared" si="9"/>
        <v>2667.2481722138846</v>
      </c>
      <c r="G119" s="262">
        <f t="shared" si="16"/>
        <v>-761.14383194000084</v>
      </c>
      <c r="H119" s="269">
        <f t="shared" si="10"/>
        <v>-1286637.5335113774</v>
      </c>
      <c r="I119" s="241"/>
      <c r="J119" s="233">
        <f t="shared" si="13"/>
        <v>3276.1632377658852</v>
      </c>
      <c r="K119" s="262">
        <f t="shared" si="11"/>
        <v>0</v>
      </c>
      <c r="L119" s="269">
        <f t="shared" si="14"/>
        <v>0</v>
      </c>
      <c r="M119" s="262"/>
      <c r="N119" s="271">
        <f>Données!S119</f>
        <v>318703.3</v>
      </c>
      <c r="O119" s="271">
        <f>Données!T119</f>
        <v>79575.600000000006</v>
      </c>
      <c r="P119" s="271">
        <f>Données!U119</f>
        <v>199200.45</v>
      </c>
      <c r="Q119" s="246">
        <f>Données!V119</f>
        <v>150168.85</v>
      </c>
      <c r="R119" s="233">
        <f t="shared" si="12"/>
        <v>343790.33000000007</v>
      </c>
      <c r="S119" s="250">
        <f t="shared" si="17"/>
        <v>-416969.04591488221</v>
      </c>
      <c r="T119" s="251">
        <f t="shared" si="15"/>
        <v>-73178.715914882137</v>
      </c>
    </row>
    <row r="120" spans="1:20" x14ac:dyDescent="0.25">
      <c r="A120" s="108">
        <f>Données!A120</f>
        <v>5606</v>
      </c>
      <c r="B120" s="120" t="str">
        <f>Données!B120</f>
        <v>Lutry</v>
      </c>
      <c r="C120" s="249">
        <f>Données!C120</f>
        <v>10843</v>
      </c>
      <c r="D120" s="246">
        <f>RFS!W120</f>
        <v>65179400.107469946</v>
      </c>
      <c r="E120" s="262"/>
      <c r="F120" s="268">
        <f t="shared" si="9"/>
        <v>6011.1961733348653</v>
      </c>
      <c r="G120" s="262">
        <f t="shared" si="16"/>
        <v>2582.8041691809799</v>
      </c>
      <c r="H120" s="269">
        <f t="shared" si="10"/>
        <v>22404276.485143494</v>
      </c>
      <c r="I120" s="241"/>
      <c r="J120" s="233">
        <f t="shared" si="13"/>
        <v>3944.9528379900812</v>
      </c>
      <c r="K120" s="262">
        <f t="shared" si="11"/>
        <v>0</v>
      </c>
      <c r="L120" s="269">
        <f t="shared" si="14"/>
        <v>0</v>
      </c>
      <c r="M120" s="262"/>
      <c r="N120" s="271">
        <f>Données!S120</f>
        <v>2139044.5499999998</v>
      </c>
      <c r="O120" s="271">
        <f>Données!T120</f>
        <v>1336690.6000000001</v>
      </c>
      <c r="P120" s="271">
        <f>Données!U120</f>
        <v>2059799.6</v>
      </c>
      <c r="Q120" s="246">
        <f>Données!V120</f>
        <v>130053.55</v>
      </c>
      <c r="R120" s="233">
        <f t="shared" si="12"/>
        <v>2806783.44</v>
      </c>
      <c r="S120" s="250">
        <f t="shared" si="17"/>
        <v>-2139704.3846924128</v>
      </c>
      <c r="T120" s="251">
        <f t="shared" si="15"/>
        <v>667079.05530758714</v>
      </c>
    </row>
    <row r="121" spans="1:20" x14ac:dyDescent="0.25">
      <c r="A121" s="108">
        <f>Données!A121</f>
        <v>5607</v>
      </c>
      <c r="B121" s="120" t="str">
        <f>Données!B121</f>
        <v>Puidoux</v>
      </c>
      <c r="C121" s="249">
        <f>Données!C121</f>
        <v>3014</v>
      </c>
      <c r="D121" s="246">
        <f>RFS!W121</f>
        <v>9039208.1855418384</v>
      </c>
      <c r="E121" s="262"/>
      <c r="F121" s="268">
        <f t="shared" si="9"/>
        <v>2999.0737178307359</v>
      </c>
      <c r="G121" s="262">
        <f t="shared" si="16"/>
        <v>-429.31828632314955</v>
      </c>
      <c r="H121" s="269">
        <f t="shared" si="10"/>
        <v>-1035172.2519823783</v>
      </c>
      <c r="I121" s="241"/>
      <c r="J121" s="233">
        <f t="shared" si="13"/>
        <v>3342.5283468892558</v>
      </c>
      <c r="K121" s="262">
        <f t="shared" si="11"/>
        <v>0</v>
      </c>
      <c r="L121" s="269">
        <f t="shared" si="14"/>
        <v>0</v>
      </c>
      <c r="M121" s="262"/>
      <c r="N121" s="271">
        <f>Données!S121</f>
        <v>262278.65000000002</v>
      </c>
      <c r="O121" s="271">
        <f>Données!T121</f>
        <v>209.2</v>
      </c>
      <c r="P121" s="271">
        <f>Données!U121</f>
        <v>166463.25</v>
      </c>
      <c r="Q121" s="246">
        <f>Données!V121</f>
        <v>369484.5</v>
      </c>
      <c r="R121" s="233">
        <f t="shared" si="12"/>
        <v>325320.90000000002</v>
      </c>
      <c r="S121" s="250">
        <f t="shared" si="17"/>
        <v>-594767.96232250589</v>
      </c>
      <c r="T121" s="251">
        <f t="shared" si="15"/>
        <v>-269447.06232250587</v>
      </c>
    </row>
    <row r="122" spans="1:20" x14ac:dyDescent="0.25">
      <c r="A122" s="108">
        <f>Données!A122</f>
        <v>5609</v>
      </c>
      <c r="B122" s="120" t="str">
        <f>Données!B122</f>
        <v>Rivaz</v>
      </c>
      <c r="C122" s="249">
        <f>Données!C122</f>
        <v>330</v>
      </c>
      <c r="D122" s="246">
        <f>RFS!W122</f>
        <v>1118995.4517854522</v>
      </c>
      <c r="E122" s="262"/>
      <c r="F122" s="268">
        <f t="shared" si="9"/>
        <v>3390.8953084407644</v>
      </c>
      <c r="G122" s="262">
        <f t="shared" si="16"/>
        <v>-37.496695713120971</v>
      </c>
      <c r="H122" s="269">
        <f t="shared" si="10"/>
        <v>-9899.1276682639364</v>
      </c>
      <c r="I122" s="241"/>
      <c r="J122" s="233">
        <f t="shared" si="13"/>
        <v>3420.8926650112608</v>
      </c>
      <c r="K122" s="262">
        <f t="shared" si="11"/>
        <v>0</v>
      </c>
      <c r="L122" s="269">
        <f t="shared" si="14"/>
        <v>0</v>
      </c>
      <c r="M122" s="262"/>
      <c r="N122" s="271">
        <f>Données!S122</f>
        <v>35324.65</v>
      </c>
      <c r="O122" s="271">
        <f>Données!T122</f>
        <v>0</v>
      </c>
      <c r="P122" s="271">
        <f>Données!U122</f>
        <v>1382.95</v>
      </c>
      <c r="Q122" s="246">
        <f>Données!V122</f>
        <v>0</v>
      </c>
      <c r="R122" s="233">
        <f t="shared" si="12"/>
        <v>18353.8</v>
      </c>
      <c r="S122" s="250">
        <f t="shared" si="17"/>
        <v>-65120.579816332764</v>
      </c>
      <c r="T122" s="251">
        <f t="shared" si="15"/>
        <v>-46766.779816332768</v>
      </c>
    </row>
    <row r="123" spans="1:20" x14ac:dyDescent="0.25">
      <c r="A123" s="108">
        <f>Données!A123</f>
        <v>5610</v>
      </c>
      <c r="B123" s="120" t="str">
        <f>Données!B123</f>
        <v>St-Saphorin (Lavaux)</v>
      </c>
      <c r="C123" s="249">
        <f>Données!C123</f>
        <v>393</v>
      </c>
      <c r="D123" s="246">
        <f>RFS!W123</f>
        <v>1524688.965287603</v>
      </c>
      <c r="E123" s="262"/>
      <c r="F123" s="268">
        <f t="shared" si="9"/>
        <v>3879.6156877547151</v>
      </c>
      <c r="G123" s="262">
        <f t="shared" si="16"/>
        <v>451.22368360082965</v>
      </c>
      <c r="H123" s="269">
        <f t="shared" si="10"/>
        <v>141864.72612410085</v>
      </c>
      <c r="I123" s="241"/>
      <c r="J123" s="233">
        <f t="shared" si="13"/>
        <v>3518.6367408740512</v>
      </c>
      <c r="K123" s="262">
        <f t="shared" si="11"/>
        <v>0</v>
      </c>
      <c r="L123" s="269">
        <f t="shared" si="14"/>
        <v>0</v>
      </c>
      <c r="M123" s="262"/>
      <c r="N123" s="271">
        <f>Données!S123</f>
        <v>43505</v>
      </c>
      <c r="O123" s="271">
        <f>Données!T123</f>
        <v>0</v>
      </c>
      <c r="P123" s="271">
        <f>Données!U123</f>
        <v>81566.399999999994</v>
      </c>
      <c r="Q123" s="246">
        <f>Données!V123</f>
        <v>0</v>
      </c>
      <c r="R123" s="233">
        <f t="shared" si="12"/>
        <v>62535.7</v>
      </c>
      <c r="S123" s="250">
        <f t="shared" si="17"/>
        <v>-77552.690508541753</v>
      </c>
      <c r="T123" s="251">
        <f t="shared" si="15"/>
        <v>-15016.990508541756</v>
      </c>
    </row>
    <row r="124" spans="1:20" x14ac:dyDescent="0.25">
      <c r="A124" s="108">
        <f>Données!A124</f>
        <v>5611</v>
      </c>
      <c r="B124" s="120" t="str">
        <f>Données!B124</f>
        <v>Savigny</v>
      </c>
      <c r="C124" s="249">
        <f>Données!C124</f>
        <v>3598</v>
      </c>
      <c r="D124" s="246">
        <f>RFS!W124</f>
        <v>10210488.198044654</v>
      </c>
      <c r="E124" s="262"/>
      <c r="F124" s="268">
        <f t="shared" si="9"/>
        <v>2837.8232901736114</v>
      </c>
      <c r="G124" s="262">
        <f t="shared" si="16"/>
        <v>-590.56871398027397</v>
      </c>
      <c r="H124" s="269">
        <f t="shared" si="10"/>
        <v>-1699892.9863208206</v>
      </c>
      <c r="I124" s="241"/>
      <c r="J124" s="233">
        <f t="shared" si="13"/>
        <v>3310.2782613578302</v>
      </c>
      <c r="K124" s="262">
        <f t="shared" si="11"/>
        <v>0</v>
      </c>
      <c r="L124" s="269">
        <f t="shared" si="14"/>
        <v>0</v>
      </c>
      <c r="M124" s="262"/>
      <c r="N124" s="271">
        <f>Données!S124</f>
        <v>393220.3</v>
      </c>
      <c r="O124" s="271">
        <f>Données!T124</f>
        <v>363242.1</v>
      </c>
      <c r="P124" s="271">
        <f>Données!U124</f>
        <v>326471.40000000002</v>
      </c>
      <c r="Q124" s="246">
        <f>Données!V124</f>
        <v>160547.65</v>
      </c>
      <c r="R124" s="233">
        <f t="shared" si="12"/>
        <v>589631.19499999995</v>
      </c>
      <c r="S124" s="250">
        <f t="shared" si="17"/>
        <v>-710011.65508837963</v>
      </c>
      <c r="T124" s="251">
        <f t="shared" si="15"/>
        <v>-120380.46008837968</v>
      </c>
    </row>
    <row r="125" spans="1:20" x14ac:dyDescent="0.25">
      <c r="A125" s="108">
        <f>Données!A125</f>
        <v>5613</v>
      </c>
      <c r="B125" s="120" t="str">
        <f>Données!B125</f>
        <v>Bourg-en-Lavaux</v>
      </c>
      <c r="C125" s="249">
        <f>Données!C125</f>
        <v>5558</v>
      </c>
      <c r="D125" s="246">
        <f>RFS!W125</f>
        <v>27547760.550801691</v>
      </c>
      <c r="E125" s="262"/>
      <c r="F125" s="268">
        <f t="shared" si="9"/>
        <v>4956.4160760708328</v>
      </c>
      <c r="G125" s="262">
        <f t="shared" si="16"/>
        <v>1528.0240719169474</v>
      </c>
      <c r="H125" s="269">
        <f t="shared" si="10"/>
        <v>6794206.2333715158</v>
      </c>
      <c r="I125" s="241"/>
      <c r="J125" s="233">
        <f t="shared" si="13"/>
        <v>3733.9968185372754</v>
      </c>
      <c r="K125" s="262">
        <f t="shared" si="11"/>
        <v>0</v>
      </c>
      <c r="L125" s="269">
        <f t="shared" si="14"/>
        <v>0</v>
      </c>
      <c r="M125" s="262"/>
      <c r="N125" s="271">
        <f>Données!S125</f>
        <v>1417941.35</v>
      </c>
      <c r="O125" s="271">
        <f>Données!T125</f>
        <v>445806.8</v>
      </c>
      <c r="P125" s="271">
        <f>Données!U125</f>
        <v>1358937.85</v>
      </c>
      <c r="Q125" s="246">
        <f>Données!V125</f>
        <v>53225.2</v>
      </c>
      <c r="R125" s="233">
        <f t="shared" si="12"/>
        <v>1627310.56</v>
      </c>
      <c r="S125" s="250">
        <f t="shared" si="17"/>
        <v>-1096788.4321793257</v>
      </c>
      <c r="T125" s="251">
        <f t="shared" si="15"/>
        <v>530522.12782067433</v>
      </c>
    </row>
    <row r="126" spans="1:20" x14ac:dyDescent="0.25">
      <c r="A126" s="108">
        <f>Données!A126</f>
        <v>5621</v>
      </c>
      <c r="B126" s="120" t="str">
        <f>Données!B126</f>
        <v>Aclens</v>
      </c>
      <c r="C126" s="249">
        <f>Données!C126</f>
        <v>609</v>
      </c>
      <c r="D126" s="246">
        <f>RFS!W126</f>
        <v>2552906.6048959401</v>
      </c>
      <c r="E126" s="262"/>
      <c r="F126" s="268">
        <f t="shared" si="9"/>
        <v>4191.9648684662397</v>
      </c>
      <c r="G126" s="262">
        <f t="shared" si="16"/>
        <v>763.57286431235434</v>
      </c>
      <c r="H126" s="269">
        <f t="shared" si="10"/>
        <v>372012.69949297904</v>
      </c>
      <c r="I126" s="241"/>
      <c r="J126" s="233">
        <f t="shared" si="13"/>
        <v>3581.1065770163568</v>
      </c>
      <c r="K126" s="262">
        <f t="shared" si="11"/>
        <v>0</v>
      </c>
      <c r="L126" s="269">
        <f t="shared" si="14"/>
        <v>0</v>
      </c>
      <c r="M126" s="262"/>
      <c r="N126" s="271">
        <f>Données!S126</f>
        <v>316437.25</v>
      </c>
      <c r="O126" s="271">
        <f>Données!T126</f>
        <v>0</v>
      </c>
      <c r="P126" s="271">
        <f>Données!U126</f>
        <v>54878.65</v>
      </c>
      <c r="Q126" s="246">
        <f>Données!V126</f>
        <v>497931.55</v>
      </c>
      <c r="R126" s="233">
        <f t="shared" si="12"/>
        <v>335037.41500000004</v>
      </c>
      <c r="S126" s="250">
        <f t="shared" si="17"/>
        <v>-120177.07002468684</v>
      </c>
      <c r="T126" s="251">
        <f t="shared" si="15"/>
        <v>214860.3449753132</v>
      </c>
    </row>
    <row r="127" spans="1:20" x14ac:dyDescent="0.25">
      <c r="A127" s="108">
        <f>Données!A127</f>
        <v>5622</v>
      </c>
      <c r="B127" s="120" t="str">
        <f>Données!B127</f>
        <v>Bremblens</v>
      </c>
      <c r="C127" s="249">
        <f>Données!C127</f>
        <v>596</v>
      </c>
      <c r="D127" s="246">
        <f>RFS!W127</f>
        <v>2413754.822780001</v>
      </c>
      <c r="E127" s="262"/>
      <c r="F127" s="268">
        <f t="shared" si="9"/>
        <v>4049.9241992953039</v>
      </c>
      <c r="G127" s="262">
        <f t="shared" si="16"/>
        <v>621.53219514141847</v>
      </c>
      <c r="H127" s="269">
        <f t="shared" si="10"/>
        <v>296346.55064342835</v>
      </c>
      <c r="I127" s="241"/>
      <c r="J127" s="233">
        <f t="shared" si="13"/>
        <v>3552.6984431821688</v>
      </c>
      <c r="K127" s="262">
        <f t="shared" si="11"/>
        <v>0</v>
      </c>
      <c r="L127" s="269">
        <f t="shared" si="14"/>
        <v>0</v>
      </c>
      <c r="M127" s="262"/>
      <c r="N127" s="271">
        <f>Données!S127</f>
        <v>86835.1</v>
      </c>
      <c r="O127" s="271">
        <f>Données!T127</f>
        <v>861.60000000000582</v>
      </c>
      <c r="P127" s="271">
        <f>Données!U127</f>
        <v>66988.850000000006</v>
      </c>
      <c r="Q127" s="246">
        <f>Données!V127</f>
        <v>49024.35</v>
      </c>
      <c r="R127" s="233">
        <f t="shared" si="12"/>
        <v>92050.08</v>
      </c>
      <c r="S127" s="250">
        <f t="shared" si="17"/>
        <v>-117611.71385010403</v>
      </c>
      <c r="T127" s="251">
        <f t="shared" si="15"/>
        <v>-25561.63385010403</v>
      </c>
    </row>
    <row r="128" spans="1:20" x14ac:dyDescent="0.25">
      <c r="A128" s="108">
        <f>Données!A128</f>
        <v>5623</v>
      </c>
      <c r="B128" s="120" t="str">
        <f>Données!B128</f>
        <v>Buchillon</v>
      </c>
      <c r="C128" s="249">
        <f>Données!C128</f>
        <v>682</v>
      </c>
      <c r="D128" s="246">
        <f>RFS!W128</f>
        <v>6415142.3203179352</v>
      </c>
      <c r="E128" s="262"/>
      <c r="F128" s="268">
        <f t="shared" si="9"/>
        <v>9406.3670385893474</v>
      </c>
      <c r="G128" s="262">
        <f t="shared" si="16"/>
        <v>5977.9750344354616</v>
      </c>
      <c r="H128" s="269">
        <f t="shared" si="10"/>
        <v>3261583.1787879877</v>
      </c>
      <c r="I128" s="241"/>
      <c r="J128" s="233">
        <f t="shared" si="13"/>
        <v>4623.9870110409784</v>
      </c>
      <c r="K128" s="262">
        <f t="shared" si="11"/>
        <v>0</v>
      </c>
      <c r="L128" s="269">
        <f t="shared" si="14"/>
        <v>0</v>
      </c>
      <c r="M128" s="262"/>
      <c r="N128" s="271">
        <f>Données!S128</f>
        <v>252917.5</v>
      </c>
      <c r="O128" s="271">
        <f>Données!T128</f>
        <v>1633.8</v>
      </c>
      <c r="P128" s="271">
        <f>Données!U128</f>
        <v>272388.15000000002</v>
      </c>
      <c r="Q128" s="246">
        <f>Données!V128</f>
        <v>1506.9</v>
      </c>
      <c r="R128" s="233">
        <f t="shared" si="12"/>
        <v>263921.79499999998</v>
      </c>
      <c r="S128" s="250">
        <f t="shared" si="17"/>
        <v>-134582.53162042104</v>
      </c>
      <c r="T128" s="251">
        <f t="shared" si="15"/>
        <v>129339.26337957894</v>
      </c>
    </row>
    <row r="129" spans="1:20" x14ac:dyDescent="0.25">
      <c r="A129" s="108">
        <f>Données!A129</f>
        <v>5624</v>
      </c>
      <c r="B129" s="120" t="str">
        <f>Données!B129</f>
        <v>Bussigny</v>
      </c>
      <c r="C129" s="249">
        <f>Données!C129</f>
        <v>12138</v>
      </c>
      <c r="D129" s="246">
        <f>RFS!W129</f>
        <v>28973109.501537722</v>
      </c>
      <c r="E129" s="262"/>
      <c r="F129" s="268">
        <f t="shared" si="9"/>
        <v>2386.9755727086604</v>
      </c>
      <c r="G129" s="262">
        <f t="shared" si="16"/>
        <v>-1041.416431445225</v>
      </c>
      <c r="H129" s="269">
        <f t="shared" si="10"/>
        <v>-10112570.115905713</v>
      </c>
      <c r="I129" s="241"/>
      <c r="J129" s="233">
        <f t="shared" si="13"/>
        <v>3220.1087178648404</v>
      </c>
      <c r="K129" s="262">
        <f t="shared" si="11"/>
        <v>0</v>
      </c>
      <c r="L129" s="269">
        <f t="shared" si="14"/>
        <v>0</v>
      </c>
      <c r="M129" s="262"/>
      <c r="N129" s="271">
        <f>Données!S129</f>
        <v>1239743.75</v>
      </c>
      <c r="O129" s="271">
        <f>Données!T129</f>
        <v>104213.9</v>
      </c>
      <c r="P129" s="271">
        <f>Données!U129</f>
        <v>491320.5</v>
      </c>
      <c r="Q129" s="246">
        <f>Données!V129</f>
        <v>1893432.95</v>
      </c>
      <c r="R129" s="233">
        <f t="shared" si="12"/>
        <v>1485668.96</v>
      </c>
      <c r="S129" s="250">
        <f t="shared" si="17"/>
        <v>-2395253.3266989305</v>
      </c>
      <c r="T129" s="251">
        <f t="shared" si="15"/>
        <v>-909584.36669893051</v>
      </c>
    </row>
    <row r="130" spans="1:20" x14ac:dyDescent="0.25">
      <c r="A130" s="108">
        <f>Données!A130</f>
        <v>5627</v>
      </c>
      <c r="B130" s="120" t="str">
        <f>Données!B130</f>
        <v>Chavannes-près-Renens</v>
      </c>
      <c r="C130" s="249">
        <f>Données!C130</f>
        <v>10735</v>
      </c>
      <c r="D130" s="246">
        <f>RFS!W130</f>
        <v>16981226.129456773</v>
      </c>
      <c r="E130" s="262"/>
      <c r="F130" s="268">
        <f t="shared" si="9"/>
        <v>1581.8561834612738</v>
      </c>
      <c r="G130" s="262">
        <f t="shared" si="16"/>
        <v>-1846.5358206926117</v>
      </c>
      <c r="H130" s="269">
        <f t="shared" si="10"/>
        <v>-15858049.628108149</v>
      </c>
      <c r="I130" s="241"/>
      <c r="J130" s="233">
        <f t="shared" si="13"/>
        <v>3059.0848400153632</v>
      </c>
      <c r="K130" s="262">
        <f t="shared" si="11"/>
        <v>-26.467963723133835</v>
      </c>
      <c r="L130" s="269">
        <f t="shared" si="14"/>
        <v>-284134</v>
      </c>
      <c r="M130" s="262"/>
      <c r="N130" s="271">
        <f>Données!S130</f>
        <v>800580.1</v>
      </c>
      <c r="O130" s="271">
        <f>Données!T130</f>
        <v>104131.4</v>
      </c>
      <c r="P130" s="271">
        <f>Données!U130</f>
        <v>131332.9</v>
      </c>
      <c r="Q130" s="246">
        <f>Données!V130</f>
        <v>577812.19999999995</v>
      </c>
      <c r="R130" s="233">
        <f t="shared" si="12"/>
        <v>691365.86</v>
      </c>
      <c r="S130" s="250">
        <f t="shared" si="17"/>
        <v>-2118392.1949343402</v>
      </c>
      <c r="T130" s="251">
        <f t="shared" si="15"/>
        <v>-1427026.3349343403</v>
      </c>
    </row>
    <row r="131" spans="1:20" x14ac:dyDescent="0.25">
      <c r="A131" s="108">
        <f>Données!A131</f>
        <v>5628</v>
      </c>
      <c r="B131" s="120" t="str">
        <f>Données!B131</f>
        <v>Chigny</v>
      </c>
      <c r="C131" s="249">
        <f>Données!C131</f>
        <v>410</v>
      </c>
      <c r="D131" s="246">
        <f>RFS!W131</f>
        <v>1958827.2403873636</v>
      </c>
      <c r="E131" s="262"/>
      <c r="F131" s="268">
        <f t="shared" si="9"/>
        <v>4777.6274155789351</v>
      </c>
      <c r="G131" s="262">
        <f t="shared" si="16"/>
        <v>1349.2354114250497</v>
      </c>
      <c r="H131" s="269">
        <f t="shared" si="10"/>
        <v>442549.21494741633</v>
      </c>
      <c r="I131" s="241"/>
      <c r="J131" s="233">
        <f t="shared" si="13"/>
        <v>3698.2390864388963</v>
      </c>
      <c r="K131" s="262">
        <f t="shared" si="11"/>
        <v>0</v>
      </c>
      <c r="L131" s="269">
        <f t="shared" si="14"/>
        <v>0</v>
      </c>
      <c r="M131" s="262"/>
      <c r="N131" s="271">
        <f>Données!S131</f>
        <v>69355</v>
      </c>
      <c r="O131" s="271">
        <f>Données!T131</f>
        <v>0</v>
      </c>
      <c r="P131" s="271">
        <f>Données!U131</f>
        <v>52817.15</v>
      </c>
      <c r="Q131" s="246">
        <f>Données!V131</f>
        <v>851.65</v>
      </c>
      <c r="R131" s="233">
        <f t="shared" si="12"/>
        <v>61341.57</v>
      </c>
      <c r="S131" s="250">
        <f t="shared" si="17"/>
        <v>-80907.387044534655</v>
      </c>
      <c r="T131" s="251">
        <f t="shared" si="15"/>
        <v>-19565.817044534655</v>
      </c>
    </row>
    <row r="132" spans="1:20" x14ac:dyDescent="0.25">
      <c r="A132" s="108">
        <f>Données!A132</f>
        <v>5629</v>
      </c>
      <c r="B132" s="120" t="str">
        <f>Données!B132</f>
        <v>Clarmont</v>
      </c>
      <c r="C132" s="249">
        <f>Données!C132</f>
        <v>232</v>
      </c>
      <c r="D132" s="246">
        <f>RFS!W132</f>
        <v>626167.77506690228</v>
      </c>
      <c r="E132" s="262"/>
      <c r="F132" s="268">
        <f t="shared" si="9"/>
        <v>2698.9990304607859</v>
      </c>
      <c r="G132" s="262">
        <f t="shared" si="16"/>
        <v>-729.39297369309952</v>
      </c>
      <c r="H132" s="269">
        <f t="shared" si="10"/>
        <v>-135375.33591743928</v>
      </c>
      <c r="I132" s="241"/>
      <c r="J132" s="233">
        <f t="shared" si="13"/>
        <v>3282.5134094152654</v>
      </c>
      <c r="K132" s="262">
        <f t="shared" si="11"/>
        <v>0</v>
      </c>
      <c r="L132" s="269">
        <f t="shared" si="14"/>
        <v>0</v>
      </c>
      <c r="M132" s="262"/>
      <c r="N132" s="271">
        <f>Données!S132</f>
        <v>0</v>
      </c>
      <c r="O132" s="271">
        <f>Données!T132</f>
        <v>0</v>
      </c>
      <c r="P132" s="271">
        <f>Données!U132</f>
        <v>0</v>
      </c>
      <c r="Q132" s="246">
        <f>Données!V132</f>
        <v>0</v>
      </c>
      <c r="R132" s="233">
        <f t="shared" si="12"/>
        <v>0</v>
      </c>
      <c r="S132" s="250">
        <f t="shared" si="17"/>
        <v>-45781.740961785457</v>
      </c>
      <c r="T132" s="251">
        <f t="shared" si="15"/>
        <v>-45781.740961785457</v>
      </c>
    </row>
    <row r="133" spans="1:20" x14ac:dyDescent="0.25">
      <c r="A133" s="108">
        <f>Données!A133</f>
        <v>5631</v>
      </c>
      <c r="B133" s="120" t="str">
        <f>Données!B133</f>
        <v>Denens</v>
      </c>
      <c r="C133" s="249">
        <f>Données!C133</f>
        <v>748</v>
      </c>
      <c r="D133" s="246">
        <f>RFS!W133</f>
        <v>3250745.110605292</v>
      </c>
      <c r="E133" s="262"/>
      <c r="F133" s="268">
        <f t="shared" si="9"/>
        <v>4345.9159232691072</v>
      </c>
      <c r="G133" s="262">
        <f t="shared" si="16"/>
        <v>917.52391911522182</v>
      </c>
      <c r="H133" s="269">
        <f t="shared" si="10"/>
        <v>549046.31319854874</v>
      </c>
      <c r="I133" s="241"/>
      <c r="J133" s="233">
        <f t="shared" si="13"/>
        <v>3611.8967879769293</v>
      </c>
      <c r="K133" s="262">
        <f t="shared" si="11"/>
        <v>0</v>
      </c>
      <c r="L133" s="269">
        <f t="shared" si="14"/>
        <v>0</v>
      </c>
      <c r="M133" s="262"/>
      <c r="N133" s="271">
        <f>Données!S133</f>
        <v>170517.35</v>
      </c>
      <c r="O133" s="271">
        <f>Données!T133</f>
        <v>7628.2000000000116</v>
      </c>
      <c r="P133" s="271">
        <f>Données!U133</f>
        <v>123729.34999999998</v>
      </c>
      <c r="Q133" s="246">
        <f>Données!V133</f>
        <v>2971.65</v>
      </c>
      <c r="R133" s="233">
        <f t="shared" si="12"/>
        <v>151828.94500000001</v>
      </c>
      <c r="S133" s="250">
        <f t="shared" si="17"/>
        <v>-147606.64758368762</v>
      </c>
      <c r="T133" s="251">
        <f t="shared" si="15"/>
        <v>4222.2974163123872</v>
      </c>
    </row>
    <row r="134" spans="1:20" x14ac:dyDescent="0.25">
      <c r="A134" s="108">
        <f>Données!A134</f>
        <v>5632</v>
      </c>
      <c r="B134" s="120" t="str">
        <f>Données!B134</f>
        <v>Denges</v>
      </c>
      <c r="C134" s="249">
        <f>Données!C134</f>
        <v>1844</v>
      </c>
      <c r="D134" s="246">
        <f>RFS!W134</f>
        <v>5673132.1423241366</v>
      </c>
      <c r="E134" s="262"/>
      <c r="F134" s="268">
        <f t="shared" ref="F134:F196" si="18">D134/C134</f>
        <v>3076.5358689393365</v>
      </c>
      <c r="G134" s="262">
        <f t="shared" si="16"/>
        <v>-351.85613521454889</v>
      </c>
      <c r="H134" s="269">
        <f t="shared" ref="H134:H196" si="19">G134*$G$6*C134</f>
        <v>-519058.17066850251</v>
      </c>
      <c r="I134" s="241"/>
      <c r="J134" s="233">
        <f t="shared" si="13"/>
        <v>3358.0207771109754</v>
      </c>
      <c r="K134" s="262">
        <f t="shared" ref="K134:K196" si="20">IF(J134&lt;$J$6,J134-($J$6),0)</f>
        <v>0</v>
      </c>
      <c r="L134" s="269">
        <f t="shared" si="14"/>
        <v>0</v>
      </c>
      <c r="M134" s="262"/>
      <c r="N134" s="271">
        <f>Données!S134</f>
        <v>819792.75</v>
      </c>
      <c r="O134" s="271">
        <f>Données!T134</f>
        <v>215462.6</v>
      </c>
      <c r="P134" s="271">
        <f>Données!U134</f>
        <v>599980.4</v>
      </c>
      <c r="Q134" s="246">
        <f>Données!V134</f>
        <v>112446.45</v>
      </c>
      <c r="R134" s="233">
        <f t="shared" ref="R134:R196" si="21">SUMPRODUCT($N$6:$Q$6,N134:Q134)</f>
        <v>851351.81</v>
      </c>
      <c r="S134" s="250">
        <f t="shared" si="17"/>
        <v>-363885.90661005338</v>
      </c>
      <c r="T134" s="251">
        <f t="shared" si="15"/>
        <v>487465.90338994667</v>
      </c>
    </row>
    <row r="135" spans="1:20" x14ac:dyDescent="0.25">
      <c r="A135" s="108">
        <f>Données!A135</f>
        <v>5633</v>
      </c>
      <c r="B135" s="120" t="str">
        <f>Données!B135</f>
        <v>Echandens</v>
      </c>
      <c r="C135" s="249">
        <f>Données!C135</f>
        <v>3116</v>
      </c>
      <c r="D135" s="246">
        <f>RFS!W135</f>
        <v>10070120.805570435</v>
      </c>
      <c r="E135" s="262"/>
      <c r="F135" s="268">
        <f t="shared" si="18"/>
        <v>3231.7460865116927</v>
      </c>
      <c r="G135" s="262">
        <f t="shared" si="16"/>
        <v>-196.64591764219267</v>
      </c>
      <c r="H135" s="269">
        <f t="shared" si="19"/>
        <v>-490198.9434984579</v>
      </c>
      <c r="I135" s="241"/>
      <c r="J135" s="233">
        <f t="shared" ref="J135:J197" si="22">(D135-H135)/C135</f>
        <v>3389.0628206254473</v>
      </c>
      <c r="K135" s="262">
        <f t="shared" si="20"/>
        <v>0</v>
      </c>
      <c r="L135" s="269">
        <f t="shared" ref="L135:L197" si="23">ROUND(K135*C135,0)</f>
        <v>0</v>
      </c>
      <c r="M135" s="262"/>
      <c r="N135" s="271">
        <f>Données!S135</f>
        <v>427251.95</v>
      </c>
      <c r="O135" s="271">
        <f>Données!T135</f>
        <v>13690.9</v>
      </c>
      <c r="P135" s="271">
        <f>Données!U135</f>
        <v>289492.59999999998</v>
      </c>
      <c r="Q135" s="246">
        <f>Données!V135</f>
        <v>331730.55</v>
      </c>
      <c r="R135" s="233">
        <f t="shared" si="21"/>
        <v>464736.88999999996</v>
      </c>
      <c r="S135" s="250">
        <f t="shared" si="17"/>
        <v>-614896.1415384633</v>
      </c>
      <c r="T135" s="251">
        <f t="shared" ref="T135:T197" si="24">R135+S135</f>
        <v>-150159.25153846334</v>
      </c>
    </row>
    <row r="136" spans="1:20" x14ac:dyDescent="0.25">
      <c r="A136" s="108">
        <f>Données!A136</f>
        <v>5634</v>
      </c>
      <c r="B136" s="120" t="str">
        <f>Données!B136</f>
        <v>Echichens</v>
      </c>
      <c r="C136" s="249">
        <f>Données!C136</f>
        <v>3241</v>
      </c>
      <c r="D136" s="246">
        <f>RFS!W136</f>
        <v>11559293.713092629</v>
      </c>
      <c r="E136" s="262"/>
      <c r="F136" s="268">
        <f t="shared" si="18"/>
        <v>3566.582447729907</v>
      </c>
      <c r="G136" s="262">
        <f t="shared" ref="G136:G199" si="25">F136-$F$302</f>
        <v>138.19044357602161</v>
      </c>
      <c r="H136" s="269">
        <f t="shared" si="19"/>
        <v>358300.18210390885</v>
      </c>
      <c r="I136" s="241"/>
      <c r="J136" s="233">
        <f t="shared" si="22"/>
        <v>3456.0300928690895</v>
      </c>
      <c r="K136" s="262">
        <f t="shared" si="20"/>
        <v>0</v>
      </c>
      <c r="L136" s="269">
        <f t="shared" si="23"/>
        <v>0</v>
      </c>
      <c r="M136" s="262"/>
      <c r="N136" s="271">
        <f>Données!S136</f>
        <v>649989.19999999995</v>
      </c>
      <c r="O136" s="271">
        <f>Données!T136</f>
        <v>552086.69999999995</v>
      </c>
      <c r="P136" s="271">
        <f>Données!U136</f>
        <v>452779.05</v>
      </c>
      <c r="Q136" s="246">
        <f>Données!V136</f>
        <v>102596.9</v>
      </c>
      <c r="R136" s="233">
        <f t="shared" si="21"/>
        <v>858206.54499999993</v>
      </c>
      <c r="S136" s="250">
        <f t="shared" ref="S136:S199" si="26">-($R$302-$S$6)/$C$302*C136</f>
        <v>-639563.02783252881</v>
      </c>
      <c r="T136" s="251">
        <f t="shared" si="24"/>
        <v>218643.51716747112</v>
      </c>
    </row>
    <row r="137" spans="1:20" x14ac:dyDescent="0.25">
      <c r="A137" s="108">
        <f>Données!A137</f>
        <v>5635</v>
      </c>
      <c r="B137" s="120" t="str">
        <f>Données!B137</f>
        <v>Ecublens</v>
      </c>
      <c r="C137" s="249">
        <f>Données!C137</f>
        <v>13758</v>
      </c>
      <c r="D137" s="246">
        <f>RFS!W137</f>
        <v>38454018.251212932</v>
      </c>
      <c r="E137" s="262"/>
      <c r="F137" s="268">
        <f t="shared" si="18"/>
        <v>2795.0296737325871</v>
      </c>
      <c r="G137" s="262">
        <f t="shared" si="25"/>
        <v>-633.36233042129834</v>
      </c>
      <c r="H137" s="269">
        <f t="shared" si="19"/>
        <v>-6971039.1535489783</v>
      </c>
      <c r="I137" s="241"/>
      <c r="J137" s="233">
        <f t="shared" si="22"/>
        <v>3301.7195380696257</v>
      </c>
      <c r="K137" s="262">
        <f t="shared" si="20"/>
        <v>0</v>
      </c>
      <c r="L137" s="269">
        <f t="shared" si="23"/>
        <v>0</v>
      </c>
      <c r="M137" s="262"/>
      <c r="N137" s="271">
        <f>Données!S137</f>
        <v>1313126.3500000001</v>
      </c>
      <c r="O137" s="271">
        <f>Données!T137</f>
        <v>229678.5</v>
      </c>
      <c r="P137" s="271">
        <f>Données!U137</f>
        <v>1015030.05</v>
      </c>
      <c r="Q137" s="246">
        <f>Données!V137</f>
        <v>2742274.45</v>
      </c>
      <c r="R137" s="233">
        <f t="shared" si="21"/>
        <v>2101599.7850000001</v>
      </c>
      <c r="S137" s="250">
        <f t="shared" si="26"/>
        <v>-2714936.1730700186</v>
      </c>
      <c r="T137" s="251">
        <f t="shared" si="24"/>
        <v>-613336.3880700185</v>
      </c>
    </row>
    <row r="138" spans="1:20" x14ac:dyDescent="0.25">
      <c r="A138" s="108">
        <f>Données!A138</f>
        <v>5636</v>
      </c>
      <c r="B138" s="120" t="str">
        <f>Données!B138</f>
        <v>Etoy</v>
      </c>
      <c r="C138" s="249">
        <f>Données!C138</f>
        <v>3013</v>
      </c>
      <c r="D138" s="246">
        <f>RFS!W138</f>
        <v>17324490.815419294</v>
      </c>
      <c r="E138" s="262"/>
      <c r="F138" s="268">
        <f t="shared" si="18"/>
        <v>5749.9139779021889</v>
      </c>
      <c r="G138" s="262">
        <f t="shared" si="25"/>
        <v>2321.5219737483035</v>
      </c>
      <c r="H138" s="269">
        <f t="shared" si="19"/>
        <v>5595796.565522911</v>
      </c>
      <c r="I138" s="241"/>
      <c r="J138" s="233">
        <f t="shared" si="22"/>
        <v>3892.6963989035457</v>
      </c>
      <c r="K138" s="262">
        <f t="shared" si="20"/>
        <v>0</v>
      </c>
      <c r="L138" s="269">
        <f t="shared" si="23"/>
        <v>0</v>
      </c>
      <c r="M138" s="262"/>
      <c r="N138" s="271">
        <f>Données!S138</f>
        <v>982311.35</v>
      </c>
      <c r="O138" s="271">
        <f>Données!T138</f>
        <v>459150.2</v>
      </c>
      <c r="P138" s="271">
        <f>Données!U138</f>
        <v>458329.95</v>
      </c>
      <c r="Q138" s="246">
        <f>Données!V138</f>
        <v>925854.3</v>
      </c>
      <c r="R138" s="233">
        <f t="shared" si="21"/>
        <v>1227652.04</v>
      </c>
      <c r="S138" s="250">
        <f t="shared" si="26"/>
        <v>-594570.62723215343</v>
      </c>
      <c r="T138" s="251">
        <f t="shared" si="24"/>
        <v>633081.4127678466</v>
      </c>
    </row>
    <row r="139" spans="1:20" x14ac:dyDescent="0.25">
      <c r="A139" s="108">
        <f>Données!A139</f>
        <v>5637</v>
      </c>
      <c r="B139" s="120" t="str">
        <f>Données!B139</f>
        <v>Lavigny</v>
      </c>
      <c r="C139" s="249">
        <f>Données!C139</f>
        <v>1108</v>
      </c>
      <c r="D139" s="246">
        <f>RFS!W139</f>
        <v>2777360.4342295304</v>
      </c>
      <c r="E139" s="262"/>
      <c r="F139" s="268">
        <f t="shared" si="18"/>
        <v>2506.6429911818868</v>
      </c>
      <c r="G139" s="262">
        <f t="shared" si="25"/>
        <v>-921.74901297199858</v>
      </c>
      <c r="H139" s="269">
        <f t="shared" si="19"/>
        <v>-817038.32509837963</v>
      </c>
      <c r="I139" s="241"/>
      <c r="J139" s="233">
        <f t="shared" si="22"/>
        <v>3244.0422015594854</v>
      </c>
      <c r="K139" s="262">
        <f t="shared" si="20"/>
        <v>0</v>
      </c>
      <c r="L139" s="269">
        <f t="shared" si="23"/>
        <v>0</v>
      </c>
      <c r="M139" s="262"/>
      <c r="N139" s="271">
        <f>Données!S139</f>
        <v>101654.85</v>
      </c>
      <c r="O139" s="271">
        <f>Données!T139</f>
        <v>2746.3</v>
      </c>
      <c r="P139" s="271">
        <f>Données!U139</f>
        <v>-160.44999999999999</v>
      </c>
      <c r="Q139" s="246">
        <f>Données!V139</f>
        <v>438303.6</v>
      </c>
      <c r="R139" s="233">
        <f t="shared" si="21"/>
        <v>183611.43</v>
      </c>
      <c r="S139" s="250">
        <f t="shared" si="26"/>
        <v>-218647.28011059607</v>
      </c>
      <c r="T139" s="251">
        <f t="shared" si="24"/>
        <v>-35035.850110596075</v>
      </c>
    </row>
    <row r="140" spans="1:20" x14ac:dyDescent="0.25">
      <c r="A140" s="108">
        <f>Données!A140</f>
        <v>5638</v>
      </c>
      <c r="B140" s="120" t="str">
        <f>Données!B140</f>
        <v>Lonay</v>
      </c>
      <c r="C140" s="249">
        <f>Données!C140</f>
        <v>2719</v>
      </c>
      <c r="D140" s="246">
        <f>RFS!W140</f>
        <v>10939286.741694311</v>
      </c>
      <c r="E140" s="262"/>
      <c r="F140" s="268">
        <f t="shared" si="18"/>
        <v>4023.2757417044172</v>
      </c>
      <c r="G140" s="262">
        <f t="shared" si="25"/>
        <v>594.88373755053181</v>
      </c>
      <c r="H140" s="269">
        <f t="shared" si="19"/>
        <v>1293991.1059199169</v>
      </c>
      <c r="I140" s="241"/>
      <c r="J140" s="233">
        <f t="shared" si="22"/>
        <v>3547.368751663992</v>
      </c>
      <c r="K140" s="262">
        <f t="shared" si="20"/>
        <v>0</v>
      </c>
      <c r="L140" s="269">
        <f t="shared" si="23"/>
        <v>0</v>
      </c>
      <c r="M140" s="262"/>
      <c r="N140" s="271">
        <f>Données!S140</f>
        <v>706892.4</v>
      </c>
      <c r="O140" s="271">
        <f>Données!T140</f>
        <v>1171886.5</v>
      </c>
      <c r="P140" s="271">
        <f>Données!U140</f>
        <v>1040979.55</v>
      </c>
      <c r="Q140" s="246">
        <f>Données!V140</f>
        <v>412525.9</v>
      </c>
      <c r="R140" s="233">
        <f t="shared" si="21"/>
        <v>1583636.9950000001</v>
      </c>
      <c r="S140" s="250">
        <f t="shared" si="26"/>
        <v>-536554.11066851148</v>
      </c>
      <c r="T140" s="251">
        <f t="shared" si="24"/>
        <v>1047082.8843314886</v>
      </c>
    </row>
    <row r="141" spans="1:20" x14ac:dyDescent="0.25">
      <c r="A141" s="108">
        <f>Données!A141</f>
        <v>5639</v>
      </c>
      <c r="B141" s="120" t="str">
        <f>Données!B141</f>
        <v>Lully</v>
      </c>
      <c r="C141" s="249">
        <f>Données!C141</f>
        <v>824</v>
      </c>
      <c r="D141" s="246">
        <f>RFS!W141</f>
        <v>3949542.5184271284</v>
      </c>
      <c r="E141" s="262"/>
      <c r="F141" s="268">
        <f t="shared" si="18"/>
        <v>4793.1341243047673</v>
      </c>
      <c r="G141" s="262">
        <f t="shared" si="25"/>
        <v>1364.7421201508819</v>
      </c>
      <c r="H141" s="269">
        <f t="shared" si="19"/>
        <v>899638.00560346141</v>
      </c>
      <c r="I141" s="241"/>
      <c r="J141" s="233">
        <f t="shared" si="22"/>
        <v>3701.3404281840617</v>
      </c>
      <c r="K141" s="262">
        <f t="shared" si="20"/>
        <v>0</v>
      </c>
      <c r="L141" s="269">
        <f t="shared" si="23"/>
        <v>0</v>
      </c>
      <c r="M141" s="262"/>
      <c r="N141" s="271">
        <f>Données!S141</f>
        <v>100864.5</v>
      </c>
      <c r="O141" s="271">
        <f>Données!T141</f>
        <v>117759.2</v>
      </c>
      <c r="P141" s="271">
        <f>Données!U141</f>
        <v>95103.6</v>
      </c>
      <c r="Q141" s="246">
        <f>Données!V141</f>
        <v>19947.599999999999</v>
      </c>
      <c r="R141" s="233">
        <f t="shared" si="21"/>
        <v>162847.93000000002</v>
      </c>
      <c r="S141" s="250">
        <f t="shared" si="26"/>
        <v>-162604.11445047939</v>
      </c>
      <c r="T141" s="251">
        <f t="shared" si="24"/>
        <v>243.81554952063016</v>
      </c>
    </row>
    <row r="142" spans="1:20" x14ac:dyDescent="0.25">
      <c r="A142" s="108">
        <f>Données!A142</f>
        <v>5640</v>
      </c>
      <c r="B142" s="120" t="str">
        <f>Données!B142</f>
        <v>Lussy-sur-Morges</v>
      </c>
      <c r="C142" s="249">
        <f>Données!C142</f>
        <v>721</v>
      </c>
      <c r="D142" s="246">
        <f>RFS!W142</f>
        <v>4393045.8843415305</v>
      </c>
      <c r="E142" s="262"/>
      <c r="F142" s="268">
        <f t="shared" si="18"/>
        <v>6092.9901308481703</v>
      </c>
      <c r="G142" s="262">
        <f t="shared" si="25"/>
        <v>2664.5981266942849</v>
      </c>
      <c r="H142" s="269">
        <f t="shared" si="19"/>
        <v>1536940.1994772637</v>
      </c>
      <c r="I142" s="241"/>
      <c r="J142" s="233">
        <f t="shared" si="22"/>
        <v>3961.3116294927418</v>
      </c>
      <c r="K142" s="262">
        <f t="shared" si="20"/>
        <v>0</v>
      </c>
      <c r="L142" s="269">
        <f t="shared" si="23"/>
        <v>0</v>
      </c>
      <c r="M142" s="262"/>
      <c r="N142" s="271">
        <f>Données!S142</f>
        <v>44313.5</v>
      </c>
      <c r="O142" s="271">
        <f>Données!T142</f>
        <v>342.7</v>
      </c>
      <c r="P142" s="271">
        <f>Données!U142</f>
        <v>51563.3</v>
      </c>
      <c r="Q142" s="246">
        <f>Données!V142</f>
        <v>20850.45</v>
      </c>
      <c r="R142" s="233">
        <f t="shared" si="21"/>
        <v>54364.885000000002</v>
      </c>
      <c r="S142" s="250">
        <f t="shared" si="26"/>
        <v>-142278.60014416947</v>
      </c>
      <c r="T142" s="251">
        <f t="shared" si="24"/>
        <v>-87913.715144169459</v>
      </c>
    </row>
    <row r="143" spans="1:20" x14ac:dyDescent="0.25">
      <c r="A143" s="108">
        <f>Données!A143</f>
        <v>5642</v>
      </c>
      <c r="B143" s="120" t="str">
        <f>Données!B143</f>
        <v>Morges</v>
      </c>
      <c r="C143" s="249">
        <f>Données!C143</f>
        <v>17813</v>
      </c>
      <c r="D143" s="246">
        <f>RFS!W143</f>
        <v>61616952.230822019</v>
      </c>
      <c r="E143" s="262"/>
      <c r="F143" s="268">
        <f t="shared" si="18"/>
        <v>3459.100220671533</v>
      </c>
      <c r="G143" s="262">
        <f t="shared" si="25"/>
        <v>30.708216517647543</v>
      </c>
      <c r="H143" s="269">
        <f t="shared" si="19"/>
        <v>437604.36866308458</v>
      </c>
      <c r="I143" s="241"/>
      <c r="J143" s="233">
        <f t="shared" si="22"/>
        <v>3434.5336474574151</v>
      </c>
      <c r="K143" s="262">
        <f t="shared" si="20"/>
        <v>0</v>
      </c>
      <c r="L143" s="269">
        <f t="shared" si="23"/>
        <v>0</v>
      </c>
      <c r="M143" s="262"/>
      <c r="N143" s="271">
        <f>Données!S143</f>
        <v>2974232.4</v>
      </c>
      <c r="O143" s="271">
        <f>Données!T143</f>
        <v>1945918.8</v>
      </c>
      <c r="P143" s="271">
        <f>Données!U143</f>
        <v>2244241.5499999998</v>
      </c>
      <c r="Q143" s="246">
        <f>Données!V143</f>
        <v>2019887.75</v>
      </c>
      <c r="R143" s="233">
        <f t="shared" si="21"/>
        <v>4188162.7</v>
      </c>
      <c r="S143" s="250">
        <f t="shared" si="26"/>
        <v>-3515129.9644495016</v>
      </c>
      <c r="T143" s="251">
        <f t="shared" si="24"/>
        <v>673032.73555049859</v>
      </c>
    </row>
    <row r="144" spans="1:20" x14ac:dyDescent="0.25">
      <c r="A144" s="108">
        <f>Données!A144</f>
        <v>5643</v>
      </c>
      <c r="B144" s="120" t="str">
        <f>Données!B144</f>
        <v>Préverenges</v>
      </c>
      <c r="C144" s="249">
        <f>Données!C144</f>
        <v>5236</v>
      </c>
      <c r="D144" s="246">
        <f>RFS!W144</f>
        <v>19799005.459280685</v>
      </c>
      <c r="E144" s="262"/>
      <c r="F144" s="268">
        <f t="shared" si="18"/>
        <v>3781.3226622002835</v>
      </c>
      <c r="G144" s="262">
        <f t="shared" si="25"/>
        <v>352.93065804639809</v>
      </c>
      <c r="H144" s="269">
        <f t="shared" si="19"/>
        <v>1478355.9404247524</v>
      </c>
      <c r="I144" s="241"/>
      <c r="J144" s="233">
        <f t="shared" si="22"/>
        <v>3498.978135763165</v>
      </c>
      <c r="K144" s="262">
        <f t="shared" si="20"/>
        <v>0</v>
      </c>
      <c r="L144" s="269">
        <f t="shared" si="23"/>
        <v>0</v>
      </c>
      <c r="M144" s="262"/>
      <c r="N144" s="271">
        <f>Données!S144</f>
        <v>741618.3</v>
      </c>
      <c r="O144" s="271">
        <f>Données!T144</f>
        <v>159498</v>
      </c>
      <c r="P144" s="271">
        <f>Données!U144</f>
        <v>456211.5</v>
      </c>
      <c r="Q144" s="246">
        <f>Données!V144</f>
        <v>253103</v>
      </c>
      <c r="R144" s="233">
        <f t="shared" si="21"/>
        <v>754594.8</v>
      </c>
      <c r="S144" s="250">
        <f t="shared" si="26"/>
        <v>-1033246.5330858133</v>
      </c>
      <c r="T144" s="251">
        <f t="shared" si="24"/>
        <v>-278651.73308581323</v>
      </c>
    </row>
    <row r="145" spans="1:20" x14ac:dyDescent="0.25">
      <c r="A145" s="108">
        <f>Données!A145</f>
        <v>5645</v>
      </c>
      <c r="B145" s="120" t="str">
        <f>Données!B145</f>
        <v>Romanel-sur-Morges</v>
      </c>
      <c r="C145" s="249">
        <f>Données!C145</f>
        <v>462</v>
      </c>
      <c r="D145" s="246">
        <f>RFS!W145</f>
        <v>1744959.4354474668</v>
      </c>
      <c r="E145" s="262"/>
      <c r="F145" s="268">
        <f t="shared" si="18"/>
        <v>3776.9684749945168</v>
      </c>
      <c r="G145" s="262">
        <f t="shared" si="25"/>
        <v>348.57647084063137</v>
      </c>
      <c r="H145" s="269">
        <f t="shared" si="19"/>
        <v>128833.86362269736</v>
      </c>
      <c r="I145" s="241"/>
      <c r="J145" s="233">
        <f t="shared" si="22"/>
        <v>3498.107298322012</v>
      </c>
      <c r="K145" s="262">
        <f t="shared" si="20"/>
        <v>0</v>
      </c>
      <c r="L145" s="269">
        <f t="shared" si="23"/>
        <v>0</v>
      </c>
      <c r="M145" s="262"/>
      <c r="N145" s="271">
        <f>Données!S145</f>
        <v>97994.4</v>
      </c>
      <c r="O145" s="271">
        <f>Données!T145</f>
        <v>17095.099999999999</v>
      </c>
      <c r="P145" s="271">
        <f>Données!U145</f>
        <v>95963.75</v>
      </c>
      <c r="Q145" s="246">
        <f>Données!V145</f>
        <v>55492.9</v>
      </c>
      <c r="R145" s="233">
        <f t="shared" si="21"/>
        <v>122174.495</v>
      </c>
      <c r="S145" s="250">
        <f t="shared" si="26"/>
        <v>-91168.811742865873</v>
      </c>
      <c r="T145" s="251">
        <f t="shared" si="24"/>
        <v>31005.683257134122</v>
      </c>
    </row>
    <row r="146" spans="1:20" x14ac:dyDescent="0.25">
      <c r="A146" s="108">
        <f>Données!A146</f>
        <v>5646</v>
      </c>
      <c r="B146" s="120" t="str">
        <f>Données!B146</f>
        <v>Saint-Prex</v>
      </c>
      <c r="C146" s="249">
        <f>Données!C146</f>
        <v>5922</v>
      </c>
      <c r="D146" s="246">
        <f>RFS!W146</f>
        <v>39512747.484606579</v>
      </c>
      <c r="E146" s="262"/>
      <c r="F146" s="268">
        <f t="shared" si="18"/>
        <v>6672.1964681875343</v>
      </c>
      <c r="G146" s="262">
        <f t="shared" si="25"/>
        <v>3243.8044640336489</v>
      </c>
      <c r="H146" s="269">
        <f t="shared" si="19"/>
        <v>15367848.028805815</v>
      </c>
      <c r="I146" s="241"/>
      <c r="J146" s="233">
        <f t="shared" si="22"/>
        <v>4077.1528969606152</v>
      </c>
      <c r="K146" s="262">
        <f t="shared" si="20"/>
        <v>0</v>
      </c>
      <c r="L146" s="269">
        <f t="shared" si="23"/>
        <v>0</v>
      </c>
      <c r="M146" s="262"/>
      <c r="N146" s="271">
        <f>Données!S146</f>
        <v>1292845.1499999999</v>
      </c>
      <c r="O146" s="271">
        <f>Données!T146</f>
        <v>999190.80000000075</v>
      </c>
      <c r="P146" s="271">
        <f>Données!U146</f>
        <v>1592092.05</v>
      </c>
      <c r="Q146" s="246">
        <f>Données!V146</f>
        <v>721457.85</v>
      </c>
      <c r="R146" s="233">
        <f t="shared" si="21"/>
        <v>2158501.3550000004</v>
      </c>
      <c r="S146" s="250">
        <f t="shared" si="26"/>
        <v>-1168618.4050676443</v>
      </c>
      <c r="T146" s="251">
        <f t="shared" si="24"/>
        <v>989882.94993235613</v>
      </c>
    </row>
    <row r="147" spans="1:20" x14ac:dyDescent="0.25">
      <c r="A147" s="108">
        <f>Données!A147</f>
        <v>5648</v>
      </c>
      <c r="B147" s="120" t="str">
        <f>Données!B147</f>
        <v>Saint-Sulpice</v>
      </c>
      <c r="C147" s="249">
        <f>Données!C147</f>
        <v>5193</v>
      </c>
      <c r="D147" s="246">
        <f>RFS!W147</f>
        <v>27257575.891864136</v>
      </c>
      <c r="E147" s="262"/>
      <c r="F147" s="268">
        <f t="shared" si="18"/>
        <v>5248.9073544895309</v>
      </c>
      <c r="G147" s="262">
        <f t="shared" si="25"/>
        <v>1820.5153503356455</v>
      </c>
      <c r="H147" s="269">
        <f t="shared" si="19"/>
        <v>7563148.971434406</v>
      </c>
      <c r="I147" s="241"/>
      <c r="J147" s="233">
        <f t="shared" si="22"/>
        <v>3792.4950742210144</v>
      </c>
      <c r="K147" s="262">
        <f t="shared" si="20"/>
        <v>0</v>
      </c>
      <c r="L147" s="269">
        <f t="shared" si="23"/>
        <v>0</v>
      </c>
      <c r="M147" s="262"/>
      <c r="N147" s="271">
        <f>Données!S147</f>
        <v>1934707.8</v>
      </c>
      <c r="O147" s="271">
        <f>Données!T147</f>
        <v>32686</v>
      </c>
      <c r="P147" s="271">
        <f>Données!U147</f>
        <v>2028251.95</v>
      </c>
      <c r="Q147" s="246">
        <f>Données!V147</f>
        <v>102476.5</v>
      </c>
      <c r="R147" s="233">
        <f t="shared" si="21"/>
        <v>2028565.825</v>
      </c>
      <c r="S147" s="250">
        <f t="shared" si="26"/>
        <v>-1024761.1242006547</v>
      </c>
      <c r="T147" s="251">
        <f t="shared" si="24"/>
        <v>1003804.7007993453</v>
      </c>
    </row>
    <row r="148" spans="1:20" x14ac:dyDescent="0.25">
      <c r="A148" s="108">
        <f>Données!A148</f>
        <v>5649</v>
      </c>
      <c r="B148" s="120" t="str">
        <f>Données!B148</f>
        <v>Tolochenaz</v>
      </c>
      <c r="C148" s="249">
        <f>Données!C148</f>
        <v>1928</v>
      </c>
      <c r="D148" s="246">
        <f>RFS!W148</f>
        <v>28721565.734633364</v>
      </c>
      <c r="E148" s="262"/>
      <c r="F148" s="268">
        <f t="shared" si="18"/>
        <v>14897.07766319158</v>
      </c>
      <c r="G148" s="262">
        <f t="shared" si="25"/>
        <v>11468.685659037694</v>
      </c>
      <c r="H148" s="269">
        <f t="shared" si="19"/>
        <v>17689300.760499738</v>
      </c>
      <c r="I148" s="241"/>
      <c r="J148" s="233">
        <f t="shared" si="22"/>
        <v>5722.1291359614243</v>
      </c>
      <c r="K148" s="262">
        <f t="shared" si="20"/>
        <v>0</v>
      </c>
      <c r="L148" s="269">
        <f t="shared" si="23"/>
        <v>0</v>
      </c>
      <c r="M148" s="262"/>
      <c r="N148" s="271">
        <f>Données!S148</f>
        <v>189750</v>
      </c>
      <c r="O148" s="271">
        <f>Données!T148</f>
        <v>31250</v>
      </c>
      <c r="P148" s="271">
        <f>Données!U148</f>
        <v>134399.9</v>
      </c>
      <c r="Q148" s="246">
        <f>Données!V148</f>
        <v>125211.2</v>
      </c>
      <c r="R148" s="233">
        <f t="shared" si="21"/>
        <v>215263.31</v>
      </c>
      <c r="S148" s="250">
        <f t="shared" si="26"/>
        <v>-380462.05419966538</v>
      </c>
      <c r="T148" s="251">
        <f t="shared" si="24"/>
        <v>-165198.74419966538</v>
      </c>
    </row>
    <row r="149" spans="1:20" x14ac:dyDescent="0.25">
      <c r="A149" s="108">
        <f>Données!A149</f>
        <v>5650</v>
      </c>
      <c r="B149" s="120" t="str">
        <f>Données!B149</f>
        <v>Vaux-sur-Morges</v>
      </c>
      <c r="C149" s="249">
        <f>Données!C149</f>
        <v>185</v>
      </c>
      <c r="D149" s="246">
        <f>RFS!W149</f>
        <v>7652722.3660079418</v>
      </c>
      <c r="E149" s="262"/>
      <c r="F149" s="268">
        <f t="shared" si="18"/>
        <v>41366.066843286171</v>
      </c>
      <c r="G149" s="262">
        <f t="shared" si="25"/>
        <v>37937.674839132284</v>
      </c>
      <c r="H149" s="269">
        <f t="shared" si="19"/>
        <v>5614775.8761915788</v>
      </c>
      <c r="I149" s="241"/>
      <c r="J149" s="233">
        <f t="shared" si="22"/>
        <v>11015.92697198034</v>
      </c>
      <c r="K149" s="262">
        <f t="shared" si="20"/>
        <v>0</v>
      </c>
      <c r="L149" s="269">
        <f t="shared" si="23"/>
        <v>0</v>
      </c>
      <c r="M149" s="262"/>
      <c r="N149" s="271">
        <f>Données!S149</f>
        <v>29.45</v>
      </c>
      <c r="O149" s="271">
        <f>Données!T149</f>
        <v>0</v>
      </c>
      <c r="P149" s="271">
        <f>Données!U149</f>
        <v>0</v>
      </c>
      <c r="Q149" s="246">
        <f>Données!V149</f>
        <v>102.05</v>
      </c>
      <c r="R149" s="233">
        <f t="shared" si="21"/>
        <v>45.339999999999996</v>
      </c>
      <c r="S149" s="250">
        <f t="shared" si="26"/>
        <v>-36506.991715216856</v>
      </c>
      <c r="T149" s="251">
        <f t="shared" si="24"/>
        <v>-36461.65171521686</v>
      </c>
    </row>
    <row r="150" spans="1:20" x14ac:dyDescent="0.25">
      <c r="A150" s="108">
        <f>Données!A150</f>
        <v>5651</v>
      </c>
      <c r="B150" s="120" t="str">
        <f>Données!B150</f>
        <v>Villars-Sainte-Croix</v>
      </c>
      <c r="C150" s="249">
        <f>Données!C150</f>
        <v>943</v>
      </c>
      <c r="D150" s="246">
        <f>RFS!W150</f>
        <v>3596569.7484385073</v>
      </c>
      <c r="E150" s="262"/>
      <c r="F150" s="268">
        <f t="shared" si="18"/>
        <v>3813.9657989803895</v>
      </c>
      <c r="G150" s="262">
        <f t="shared" si="25"/>
        <v>385.57379482650413</v>
      </c>
      <c r="H150" s="269">
        <f t="shared" si="19"/>
        <v>290876.87081711477</v>
      </c>
      <c r="I150" s="241"/>
      <c r="J150" s="233">
        <f t="shared" si="22"/>
        <v>3505.5067631191864</v>
      </c>
      <c r="K150" s="262">
        <f t="shared" si="20"/>
        <v>0</v>
      </c>
      <c r="L150" s="269">
        <f t="shared" si="23"/>
        <v>0</v>
      </c>
      <c r="M150" s="262"/>
      <c r="N150" s="271">
        <f>Données!S150</f>
        <v>204860.4</v>
      </c>
      <c r="O150" s="271">
        <f>Données!T150</f>
        <v>0</v>
      </c>
      <c r="P150" s="271">
        <f>Données!U150</f>
        <v>191014.15</v>
      </c>
      <c r="Q150" s="246">
        <f>Données!V150</f>
        <v>218651.9</v>
      </c>
      <c r="R150" s="233">
        <f t="shared" si="21"/>
        <v>263532.84499999997</v>
      </c>
      <c r="S150" s="250">
        <f t="shared" si="26"/>
        <v>-186086.9902024297</v>
      </c>
      <c r="T150" s="251">
        <f t="shared" si="24"/>
        <v>77445.854797570268</v>
      </c>
    </row>
    <row r="151" spans="1:20" x14ac:dyDescent="0.25">
      <c r="A151" s="108">
        <f>Données!A151</f>
        <v>5652</v>
      </c>
      <c r="B151" s="120" t="str">
        <f>Données!B151</f>
        <v>Villars-sous-Yens</v>
      </c>
      <c r="C151" s="249">
        <f>Données!C151</f>
        <v>603</v>
      </c>
      <c r="D151" s="246">
        <f>RFS!W151</f>
        <v>1620047.7503992466</v>
      </c>
      <c r="E151" s="262"/>
      <c r="F151" s="268">
        <f t="shared" si="18"/>
        <v>2686.6463522375566</v>
      </c>
      <c r="G151" s="262">
        <f t="shared" si="25"/>
        <v>-741.74565191632882</v>
      </c>
      <c r="H151" s="269">
        <f t="shared" si="19"/>
        <v>-357818.102484437</v>
      </c>
      <c r="I151" s="241"/>
      <c r="J151" s="233">
        <f t="shared" si="22"/>
        <v>3280.0428737706193</v>
      </c>
      <c r="K151" s="262">
        <f t="shared" si="20"/>
        <v>0</v>
      </c>
      <c r="L151" s="269">
        <f t="shared" si="23"/>
        <v>0</v>
      </c>
      <c r="M151" s="262"/>
      <c r="N151" s="271">
        <f>Données!S151</f>
        <v>105443.45</v>
      </c>
      <c r="O151" s="271">
        <f>Données!T151</f>
        <v>3189.9</v>
      </c>
      <c r="P151" s="271">
        <f>Données!U151</f>
        <v>60834.35</v>
      </c>
      <c r="Q151" s="246">
        <f>Données!V151</f>
        <v>370.85</v>
      </c>
      <c r="R151" s="233">
        <f t="shared" si="21"/>
        <v>84845.104999999996</v>
      </c>
      <c r="S151" s="250">
        <f t="shared" si="26"/>
        <v>-118993.0594825717</v>
      </c>
      <c r="T151" s="251">
        <f t="shared" si="24"/>
        <v>-34147.954482571702</v>
      </c>
    </row>
    <row r="152" spans="1:20" x14ac:dyDescent="0.25">
      <c r="A152" s="108">
        <f>Données!A152</f>
        <v>5653</v>
      </c>
      <c r="B152" s="120" t="str">
        <f>Données!B152</f>
        <v>Vufflens-le-Château</v>
      </c>
      <c r="C152" s="249">
        <f>Données!C152</f>
        <v>887</v>
      </c>
      <c r="D152" s="246">
        <f>RFS!W152</f>
        <v>4904638.1938704876</v>
      </c>
      <c r="E152" s="262"/>
      <c r="F152" s="268">
        <f t="shared" si="18"/>
        <v>5529.468087790854</v>
      </c>
      <c r="G152" s="262">
        <f t="shared" si="25"/>
        <v>2101.0760836369686</v>
      </c>
      <c r="H152" s="269">
        <f t="shared" si="19"/>
        <v>1490923.588948793</v>
      </c>
      <c r="I152" s="241"/>
      <c r="J152" s="233">
        <f t="shared" si="22"/>
        <v>3848.6072208812793</v>
      </c>
      <c r="K152" s="262">
        <f t="shared" si="20"/>
        <v>0</v>
      </c>
      <c r="L152" s="269">
        <f t="shared" si="23"/>
        <v>0</v>
      </c>
      <c r="M152" s="262"/>
      <c r="N152" s="271">
        <f>Données!S152</f>
        <v>101409.79999999999</v>
      </c>
      <c r="O152" s="271">
        <f>Données!T152</f>
        <v>0.39999999990686774</v>
      </c>
      <c r="P152" s="271">
        <f>Données!U152</f>
        <v>257325.55</v>
      </c>
      <c r="Q152" s="246">
        <f>Données!V152</f>
        <v>2148.3000000000002</v>
      </c>
      <c r="R152" s="233">
        <f t="shared" si="21"/>
        <v>180012.36499999993</v>
      </c>
      <c r="S152" s="250">
        <f t="shared" si="26"/>
        <v>-175036.22514268837</v>
      </c>
      <c r="T152" s="251">
        <f t="shared" si="24"/>
        <v>4976.1398573115584</v>
      </c>
    </row>
    <row r="153" spans="1:20" x14ac:dyDescent="0.25">
      <c r="A153" s="108">
        <f>Données!A153</f>
        <v>5654</v>
      </c>
      <c r="B153" s="120" t="str">
        <f>Données!B153</f>
        <v>Vullierens</v>
      </c>
      <c r="C153" s="249">
        <f>Données!C153</f>
        <v>577</v>
      </c>
      <c r="D153" s="246">
        <f>RFS!W153</f>
        <v>1708713.8442670663</v>
      </c>
      <c r="E153" s="262"/>
      <c r="F153" s="268">
        <f t="shared" si="18"/>
        <v>2961.3758132878102</v>
      </c>
      <c r="G153" s="262">
        <f t="shared" si="25"/>
        <v>-467.01619086607525</v>
      </c>
      <c r="H153" s="269">
        <f t="shared" si="19"/>
        <v>-215574.67370378037</v>
      </c>
      <c r="I153" s="241"/>
      <c r="J153" s="233">
        <f t="shared" si="22"/>
        <v>3334.9887659806705</v>
      </c>
      <c r="K153" s="262">
        <f t="shared" si="20"/>
        <v>0</v>
      </c>
      <c r="L153" s="269">
        <f t="shared" si="23"/>
        <v>0</v>
      </c>
      <c r="M153" s="262"/>
      <c r="N153" s="271">
        <f>Données!S153</f>
        <v>97484.45</v>
      </c>
      <c r="O153" s="271">
        <f>Données!T153</f>
        <v>0</v>
      </c>
      <c r="P153" s="271">
        <f>Données!U153</f>
        <v>48468.35</v>
      </c>
      <c r="Q153" s="246">
        <f>Données!V153</f>
        <v>5449.1</v>
      </c>
      <c r="R153" s="233">
        <f t="shared" si="21"/>
        <v>74611.12999999999</v>
      </c>
      <c r="S153" s="250">
        <f t="shared" si="26"/>
        <v>-113862.34713340607</v>
      </c>
      <c r="T153" s="251">
        <f t="shared" si="24"/>
        <v>-39251.217133406084</v>
      </c>
    </row>
    <row r="154" spans="1:20" x14ac:dyDescent="0.25">
      <c r="A154" s="108">
        <f>Données!A154</f>
        <v>5655</v>
      </c>
      <c r="B154" s="120" t="str">
        <f>Données!B154</f>
        <v>Yens</v>
      </c>
      <c r="C154" s="249">
        <f>Données!C154</f>
        <v>1481</v>
      </c>
      <c r="D154" s="246">
        <f>RFS!W154</f>
        <v>6994046.2094766507</v>
      </c>
      <c r="E154" s="262"/>
      <c r="F154" s="268">
        <f t="shared" si="18"/>
        <v>4722.5160090996969</v>
      </c>
      <c r="G154" s="262">
        <f t="shared" si="25"/>
        <v>1294.1240049458115</v>
      </c>
      <c r="H154" s="269">
        <f t="shared" si="19"/>
        <v>1533278.1210597977</v>
      </c>
      <c r="I154" s="241"/>
      <c r="J154" s="233">
        <f t="shared" si="22"/>
        <v>3687.2168051430472</v>
      </c>
      <c r="K154" s="262">
        <f t="shared" si="20"/>
        <v>0</v>
      </c>
      <c r="L154" s="269">
        <f t="shared" si="23"/>
        <v>0</v>
      </c>
      <c r="M154" s="262"/>
      <c r="N154" s="271">
        <f>Données!S154</f>
        <v>288510.84999999998</v>
      </c>
      <c r="O154" s="271">
        <f>Données!T154</f>
        <v>207642.69999999995</v>
      </c>
      <c r="P154" s="271">
        <f>Données!U154</f>
        <v>143372.65</v>
      </c>
      <c r="Q154" s="246">
        <f>Données!V154</f>
        <v>75428.600000000006</v>
      </c>
      <c r="R154" s="233">
        <f t="shared" si="21"/>
        <v>342391.68</v>
      </c>
      <c r="S154" s="250">
        <f t="shared" si="26"/>
        <v>-292253.26881208736</v>
      </c>
      <c r="T154" s="251">
        <f t="shared" si="24"/>
        <v>50138.411187912629</v>
      </c>
    </row>
    <row r="155" spans="1:20" x14ac:dyDescent="0.25">
      <c r="A155" s="108">
        <f>Données!A155</f>
        <v>5656</v>
      </c>
      <c r="B155" s="120" t="str">
        <f>Données!B155</f>
        <v>Hautemorges</v>
      </c>
      <c r="C155" s="249">
        <f>Données!C155</f>
        <v>4426</v>
      </c>
      <c r="D155" s="246">
        <f>RFS!W155</f>
        <v>12134550.210193252</v>
      </c>
      <c r="E155" s="262"/>
      <c r="F155" s="268">
        <f t="shared" si="18"/>
        <v>2741.65165164782</v>
      </c>
      <c r="G155" s="262">
        <f t="shared" si="25"/>
        <v>-686.74035250606539</v>
      </c>
      <c r="H155" s="269">
        <f t="shared" si="19"/>
        <v>-2431610.2401534761</v>
      </c>
      <c r="I155" s="241"/>
      <c r="J155" s="233">
        <f t="shared" si="22"/>
        <v>3291.0439336526724</v>
      </c>
      <c r="K155" s="262">
        <f t="shared" si="20"/>
        <v>0</v>
      </c>
      <c r="L155" s="269">
        <f t="shared" si="23"/>
        <v>0</v>
      </c>
      <c r="M155" s="262"/>
      <c r="N155" s="271">
        <f>Données!S155</f>
        <v>705231.9</v>
      </c>
      <c r="O155" s="271">
        <f>Données!T155</f>
        <v>131257.4</v>
      </c>
      <c r="P155" s="271">
        <f>Données!U155</f>
        <v>504106.15</v>
      </c>
      <c r="Q155" s="246">
        <f>Données!V155</f>
        <v>108019.3</v>
      </c>
      <c r="R155" s="233">
        <f t="shared" si="21"/>
        <v>702703.51500000013</v>
      </c>
      <c r="S155" s="250">
        <f t="shared" si="26"/>
        <v>-873405.10990026919</v>
      </c>
      <c r="T155" s="251">
        <f t="shared" si="24"/>
        <v>-170701.59490026906</v>
      </c>
    </row>
    <row r="156" spans="1:20" x14ac:dyDescent="0.25">
      <c r="A156" s="108">
        <f>Données!A156</f>
        <v>5661</v>
      </c>
      <c r="B156" s="120" t="str">
        <f>Données!B156</f>
        <v>Boulens</v>
      </c>
      <c r="C156" s="249">
        <f>Données!C156</f>
        <v>371</v>
      </c>
      <c r="D156" s="246">
        <f>RFS!W156</f>
        <v>832513.17734355223</v>
      </c>
      <c r="E156" s="262"/>
      <c r="F156" s="268">
        <f t="shared" si="18"/>
        <v>2243.9708284192784</v>
      </c>
      <c r="G156" s="262">
        <f t="shared" si="25"/>
        <v>-1184.421175734607</v>
      </c>
      <c r="H156" s="269">
        <f t="shared" si="19"/>
        <v>-351536.20495803136</v>
      </c>
      <c r="I156" s="241"/>
      <c r="J156" s="233">
        <f t="shared" si="22"/>
        <v>3191.5077690069638</v>
      </c>
      <c r="K156" s="262">
        <f t="shared" si="20"/>
        <v>0</v>
      </c>
      <c r="L156" s="269">
        <f t="shared" si="23"/>
        <v>0</v>
      </c>
      <c r="M156" s="262"/>
      <c r="N156" s="271">
        <f>Données!S156</f>
        <v>31971.5</v>
      </c>
      <c r="O156" s="271">
        <f>Données!T156</f>
        <v>0</v>
      </c>
      <c r="P156" s="271">
        <f>Données!U156</f>
        <v>85152.1</v>
      </c>
      <c r="Q156" s="246">
        <f>Données!V156</f>
        <v>8774.75</v>
      </c>
      <c r="R156" s="233">
        <f t="shared" si="21"/>
        <v>61194.225000000006</v>
      </c>
      <c r="S156" s="250">
        <f t="shared" si="26"/>
        <v>-73211.318520786226</v>
      </c>
      <c r="T156" s="251">
        <f t="shared" si="24"/>
        <v>-12017.09352078622</v>
      </c>
    </row>
    <row r="157" spans="1:20" x14ac:dyDescent="0.25">
      <c r="A157" s="108">
        <f>Données!A157</f>
        <v>5663</v>
      </c>
      <c r="B157" s="120" t="str">
        <f>Données!B157</f>
        <v>Bussy-sur-Moudon</v>
      </c>
      <c r="C157" s="249">
        <f>Données!C157</f>
        <v>267</v>
      </c>
      <c r="D157" s="246">
        <f>RFS!W157</f>
        <v>474248.55209612049</v>
      </c>
      <c r="E157" s="262"/>
      <c r="F157" s="268">
        <f t="shared" si="18"/>
        <v>1776.2118056034476</v>
      </c>
      <c r="G157" s="262">
        <f t="shared" si="25"/>
        <v>-1652.1801985504378</v>
      </c>
      <c r="H157" s="269">
        <f t="shared" si="19"/>
        <v>-352905.69041037356</v>
      </c>
      <c r="I157" s="241"/>
      <c r="J157" s="233">
        <f t="shared" si="22"/>
        <v>3097.9559644437977</v>
      </c>
      <c r="K157" s="262">
        <f t="shared" si="20"/>
        <v>0</v>
      </c>
      <c r="L157" s="269">
        <f t="shared" si="23"/>
        <v>0</v>
      </c>
      <c r="M157" s="262"/>
      <c r="N157" s="271">
        <f>Données!S157</f>
        <v>24530</v>
      </c>
      <c r="O157" s="271">
        <f>Données!T157</f>
        <v>0</v>
      </c>
      <c r="P157" s="271">
        <f>Données!U157</f>
        <v>8759.7999999999993</v>
      </c>
      <c r="Q157" s="246">
        <f>Données!V157</f>
        <v>0</v>
      </c>
      <c r="R157" s="233">
        <f t="shared" si="21"/>
        <v>16644.900000000001</v>
      </c>
      <c r="S157" s="250">
        <f t="shared" si="26"/>
        <v>-52688.469124123782</v>
      </c>
      <c r="T157" s="251">
        <f t="shared" si="24"/>
        <v>-36043.56912412378</v>
      </c>
    </row>
    <row r="158" spans="1:20" x14ac:dyDescent="0.25">
      <c r="A158" s="108">
        <f>Données!A158</f>
        <v>5665</v>
      </c>
      <c r="B158" s="120" t="str">
        <f>Données!B158</f>
        <v>Chavannes-sur-Moudon</v>
      </c>
      <c r="C158" s="249">
        <f>Données!C158</f>
        <v>232</v>
      </c>
      <c r="D158" s="246">
        <f>RFS!W158</f>
        <v>426187.76283235749</v>
      </c>
      <c r="E158" s="262"/>
      <c r="F158" s="268">
        <f t="shared" si="18"/>
        <v>1837.0162191049892</v>
      </c>
      <c r="G158" s="262">
        <f t="shared" si="25"/>
        <v>-1591.3757850488962</v>
      </c>
      <c r="H158" s="269">
        <f t="shared" si="19"/>
        <v>-295359.34570507513</v>
      </c>
      <c r="I158" s="241"/>
      <c r="J158" s="233">
        <f t="shared" si="22"/>
        <v>3110.116847144106</v>
      </c>
      <c r="K158" s="262">
        <f t="shared" si="20"/>
        <v>0</v>
      </c>
      <c r="L158" s="269">
        <f t="shared" si="23"/>
        <v>0</v>
      </c>
      <c r="M158" s="262"/>
      <c r="N158" s="271">
        <f>Données!S158</f>
        <v>10179.75</v>
      </c>
      <c r="O158" s="271">
        <f>Données!T158</f>
        <v>0</v>
      </c>
      <c r="P158" s="271">
        <f>Données!U158</f>
        <v>16457.900000000001</v>
      </c>
      <c r="Q158" s="246">
        <f>Données!V158</f>
        <v>0</v>
      </c>
      <c r="R158" s="233">
        <f t="shared" si="21"/>
        <v>13318.825000000001</v>
      </c>
      <c r="S158" s="250">
        <f t="shared" si="26"/>
        <v>-45781.740961785457</v>
      </c>
      <c r="T158" s="251">
        <f t="shared" si="24"/>
        <v>-32462.915961785457</v>
      </c>
    </row>
    <row r="159" spans="1:20" x14ac:dyDescent="0.25">
      <c r="A159" s="108">
        <f>Données!A159</f>
        <v>5671</v>
      </c>
      <c r="B159" s="120" t="str">
        <f>Données!B159</f>
        <v>Dompierre</v>
      </c>
      <c r="C159" s="249">
        <f>Données!C159</f>
        <v>242</v>
      </c>
      <c r="D159" s="246">
        <f>RFS!W159</f>
        <v>357340.94567001966</v>
      </c>
      <c r="E159" s="262"/>
      <c r="F159" s="268">
        <f t="shared" si="18"/>
        <v>1476.6154779752878</v>
      </c>
      <c r="G159" s="262">
        <f t="shared" si="25"/>
        <v>-1951.7765261785976</v>
      </c>
      <c r="H159" s="269">
        <f t="shared" si="19"/>
        <v>-377863.9354681765</v>
      </c>
      <c r="I159" s="241"/>
      <c r="J159" s="233">
        <f t="shared" si="22"/>
        <v>3038.0366989181662</v>
      </c>
      <c r="K159" s="262">
        <f t="shared" si="20"/>
        <v>-47.516104820330838</v>
      </c>
      <c r="L159" s="269">
        <f t="shared" si="23"/>
        <v>-11499</v>
      </c>
      <c r="M159" s="262"/>
      <c r="N159" s="271">
        <f>Données!S159</f>
        <v>14575</v>
      </c>
      <c r="O159" s="271">
        <f>Données!T159</f>
        <v>56719.3</v>
      </c>
      <c r="P159" s="271">
        <f>Données!U159</f>
        <v>17376.599999999999</v>
      </c>
      <c r="Q159" s="246">
        <f>Données!V159</f>
        <v>0</v>
      </c>
      <c r="R159" s="233">
        <f t="shared" si="21"/>
        <v>44335.45</v>
      </c>
      <c r="S159" s="250">
        <f t="shared" si="26"/>
        <v>-47755.091865310693</v>
      </c>
      <c r="T159" s="251">
        <f t="shared" si="24"/>
        <v>-3419.6418653106957</v>
      </c>
    </row>
    <row r="160" spans="1:20" x14ac:dyDescent="0.25">
      <c r="A160" s="108">
        <f>Données!A160</f>
        <v>5673</v>
      </c>
      <c r="B160" s="120" t="str">
        <f>Données!B160</f>
        <v>Hermenches</v>
      </c>
      <c r="C160" s="249">
        <f>Données!C160</f>
        <v>364</v>
      </c>
      <c r="D160" s="246">
        <f>RFS!W160</f>
        <v>649521.02085057436</v>
      </c>
      <c r="E160" s="262"/>
      <c r="F160" s="268">
        <f t="shared" si="18"/>
        <v>1784.3984089301493</v>
      </c>
      <c r="G160" s="262">
        <f t="shared" si="25"/>
        <v>-1643.9935952237361</v>
      </c>
      <c r="H160" s="269">
        <f t="shared" si="19"/>
        <v>-478730.93492915202</v>
      </c>
      <c r="I160" s="241"/>
      <c r="J160" s="233">
        <f t="shared" si="22"/>
        <v>3099.5932851091384</v>
      </c>
      <c r="K160" s="262">
        <f t="shared" si="20"/>
        <v>0</v>
      </c>
      <c r="L160" s="269">
        <f t="shared" si="23"/>
        <v>0</v>
      </c>
      <c r="M160" s="262"/>
      <c r="N160" s="271">
        <f>Données!S160</f>
        <v>4914.2</v>
      </c>
      <c r="O160" s="271">
        <f>Données!T160</f>
        <v>2.8</v>
      </c>
      <c r="P160" s="271">
        <f>Données!U160</f>
        <v>7632.1</v>
      </c>
      <c r="Q160" s="246">
        <f>Données!V160</f>
        <v>14756.15</v>
      </c>
      <c r="R160" s="233">
        <f t="shared" si="21"/>
        <v>10701.395</v>
      </c>
      <c r="S160" s="250">
        <f t="shared" si="26"/>
        <v>-71829.972888318574</v>
      </c>
      <c r="T160" s="251">
        <f t="shared" si="24"/>
        <v>-61128.57788831857</v>
      </c>
    </row>
    <row r="161" spans="1:20" x14ac:dyDescent="0.25">
      <c r="A161" s="108">
        <f>Données!A161</f>
        <v>5674</v>
      </c>
      <c r="B161" s="120" t="str">
        <f>Données!B161</f>
        <v>Lovatens</v>
      </c>
      <c r="C161" s="249">
        <f>Données!C161</f>
        <v>152</v>
      </c>
      <c r="D161" s="246">
        <f>RFS!W161</f>
        <v>355703.79108385596</v>
      </c>
      <c r="E161" s="262"/>
      <c r="F161" s="268">
        <f t="shared" si="18"/>
        <v>2340.1565202885263</v>
      </c>
      <c r="G161" s="262">
        <f t="shared" si="25"/>
        <v>-1088.2354838653591</v>
      </c>
      <c r="H161" s="269">
        <f t="shared" si="19"/>
        <v>-132329.43483802766</v>
      </c>
      <c r="I161" s="241"/>
      <c r="J161" s="233">
        <f t="shared" si="22"/>
        <v>3210.7449073808129</v>
      </c>
      <c r="K161" s="262">
        <f t="shared" si="20"/>
        <v>0</v>
      </c>
      <c r="L161" s="269">
        <f t="shared" si="23"/>
        <v>0</v>
      </c>
      <c r="M161" s="262"/>
      <c r="N161" s="271">
        <f>Données!S161</f>
        <v>3888.5</v>
      </c>
      <c r="O161" s="271">
        <f>Données!T161</f>
        <v>0</v>
      </c>
      <c r="P161" s="271">
        <f>Données!U161</f>
        <v>11175.25</v>
      </c>
      <c r="Q161" s="246">
        <f>Données!V161</f>
        <v>0</v>
      </c>
      <c r="R161" s="233">
        <f t="shared" si="21"/>
        <v>7531.875</v>
      </c>
      <c r="S161" s="250">
        <f t="shared" si="26"/>
        <v>-29994.933733583577</v>
      </c>
      <c r="T161" s="251">
        <f t="shared" si="24"/>
        <v>-22463.058733583577</v>
      </c>
    </row>
    <row r="162" spans="1:20" x14ac:dyDescent="0.25">
      <c r="A162" s="108">
        <f>Données!A162</f>
        <v>5675</v>
      </c>
      <c r="B162" s="120" t="str">
        <f>Données!B162</f>
        <v>Lucens</v>
      </c>
      <c r="C162" s="249">
        <f>Données!C162</f>
        <v>5194</v>
      </c>
      <c r="D162" s="246">
        <f>RFS!W162</f>
        <v>7109596.1450290773</v>
      </c>
      <c r="E162" s="262"/>
      <c r="F162" s="268">
        <f t="shared" si="18"/>
        <v>1368.809423378721</v>
      </c>
      <c r="G162" s="262">
        <f t="shared" si="25"/>
        <v>-2059.5825807751644</v>
      </c>
      <c r="H162" s="269">
        <f t="shared" si="19"/>
        <v>-8557977.539636964</v>
      </c>
      <c r="I162" s="241"/>
      <c r="J162" s="233">
        <f t="shared" si="22"/>
        <v>3016.4754879988527</v>
      </c>
      <c r="K162" s="262">
        <f t="shared" si="20"/>
        <v>-69.077315739644291</v>
      </c>
      <c r="L162" s="269">
        <f t="shared" si="23"/>
        <v>-358788</v>
      </c>
      <c r="M162" s="262"/>
      <c r="N162" s="271">
        <f>Données!S162</f>
        <v>791490.3</v>
      </c>
      <c r="O162" s="271">
        <f>Données!T162</f>
        <v>75526.7</v>
      </c>
      <c r="P162" s="271">
        <f>Données!U162</f>
        <v>237849.85</v>
      </c>
      <c r="Q162" s="246">
        <f>Données!V162</f>
        <v>14333.9</v>
      </c>
      <c r="R162" s="233">
        <f t="shared" si="21"/>
        <v>556733.59500000009</v>
      </c>
      <c r="S162" s="250">
        <f t="shared" si="26"/>
        <v>-1024958.4592910073</v>
      </c>
      <c r="T162" s="251">
        <f t="shared" si="24"/>
        <v>-468224.86429100716</v>
      </c>
    </row>
    <row r="163" spans="1:20" x14ac:dyDescent="0.25">
      <c r="A163" s="108">
        <f>Données!A163</f>
        <v>5678</v>
      </c>
      <c r="B163" s="120" t="str">
        <f>Données!B163</f>
        <v>Moudon</v>
      </c>
      <c r="C163" s="249">
        <f>Données!C163</f>
        <v>6847</v>
      </c>
      <c r="D163" s="246">
        <f>RFS!W163</f>
        <v>9734978.8282219525</v>
      </c>
      <c r="E163" s="262"/>
      <c r="F163" s="268">
        <f t="shared" si="18"/>
        <v>1421.7874730863082</v>
      </c>
      <c r="G163" s="262">
        <f t="shared" si="25"/>
        <v>-2006.6045310675772</v>
      </c>
      <c r="H163" s="269">
        <f t="shared" si="19"/>
        <v>-10991376.979375761</v>
      </c>
      <c r="I163" s="241"/>
      <c r="J163" s="233">
        <f t="shared" si="22"/>
        <v>3027.0710979403698</v>
      </c>
      <c r="K163" s="262">
        <f t="shared" si="20"/>
        <v>-58.481705798127223</v>
      </c>
      <c r="L163" s="269">
        <f t="shared" si="23"/>
        <v>-400424</v>
      </c>
      <c r="M163" s="262"/>
      <c r="N163" s="271">
        <f>Données!S163</f>
        <v>599288.69999999995</v>
      </c>
      <c r="O163" s="271">
        <f>Données!T163</f>
        <v>312890.2</v>
      </c>
      <c r="P163" s="271">
        <f>Données!U163</f>
        <v>357458.55</v>
      </c>
      <c r="Q163" s="246">
        <f>Données!V163</f>
        <v>238397.75</v>
      </c>
      <c r="R163" s="233">
        <f t="shared" si="21"/>
        <v>706338.04999999993</v>
      </c>
      <c r="S163" s="250">
        <f t="shared" si="26"/>
        <v>-1351153.3636437287</v>
      </c>
      <c r="T163" s="251">
        <f t="shared" si="24"/>
        <v>-644815.31364372873</v>
      </c>
    </row>
    <row r="164" spans="1:20" x14ac:dyDescent="0.25">
      <c r="A164" s="108">
        <f>Données!A164</f>
        <v>5680</v>
      </c>
      <c r="B164" s="120" t="str">
        <f>Données!B164</f>
        <v>Ogens</v>
      </c>
      <c r="C164" s="249">
        <f>Données!C164</f>
        <v>342</v>
      </c>
      <c r="D164" s="246">
        <f>RFS!W164</f>
        <v>730501.91238977155</v>
      </c>
      <c r="E164" s="262"/>
      <c r="F164" s="268">
        <f t="shared" si="18"/>
        <v>2135.9705040636595</v>
      </c>
      <c r="G164" s="262">
        <f t="shared" si="25"/>
        <v>-1292.4215000902259</v>
      </c>
      <c r="H164" s="269">
        <f t="shared" si="19"/>
        <v>-353606.52242468583</v>
      </c>
      <c r="I164" s="241"/>
      <c r="J164" s="233">
        <f t="shared" si="22"/>
        <v>3169.90770413584</v>
      </c>
      <c r="K164" s="262">
        <f t="shared" si="20"/>
        <v>0</v>
      </c>
      <c r="L164" s="269">
        <f t="shared" si="23"/>
        <v>0</v>
      </c>
      <c r="M164" s="262"/>
      <c r="N164" s="271">
        <f>Données!S164</f>
        <v>40458</v>
      </c>
      <c r="O164" s="271">
        <f>Données!T164</f>
        <v>388.6</v>
      </c>
      <c r="P164" s="271">
        <f>Données!U164</f>
        <v>43980.65</v>
      </c>
      <c r="Q164" s="246">
        <f>Données!V164</f>
        <v>0</v>
      </c>
      <c r="R164" s="233">
        <f t="shared" si="21"/>
        <v>42413.625</v>
      </c>
      <c r="S164" s="250">
        <f t="shared" si="26"/>
        <v>-67488.600900563048</v>
      </c>
      <c r="T164" s="251">
        <f t="shared" si="24"/>
        <v>-25074.975900563048</v>
      </c>
    </row>
    <row r="165" spans="1:20" x14ac:dyDescent="0.25">
      <c r="A165" s="108">
        <f>Données!A165</f>
        <v>5683</v>
      </c>
      <c r="B165" s="120" t="str">
        <f>Données!B165</f>
        <v>Prévonloup</v>
      </c>
      <c r="C165" s="249">
        <f>Données!C165</f>
        <v>249</v>
      </c>
      <c r="D165" s="246">
        <f>RFS!W165</f>
        <v>373406.04601911316</v>
      </c>
      <c r="E165" s="262"/>
      <c r="F165" s="268">
        <f t="shared" si="18"/>
        <v>1499.6226747755547</v>
      </c>
      <c r="G165" s="262">
        <f t="shared" si="25"/>
        <v>-1928.7693293783307</v>
      </c>
      <c r="H165" s="269">
        <f t="shared" si="19"/>
        <v>-384210.85041216353</v>
      </c>
      <c r="I165" s="241"/>
      <c r="J165" s="233">
        <f t="shared" si="22"/>
        <v>3042.6381382782197</v>
      </c>
      <c r="K165" s="262">
        <f t="shared" si="20"/>
        <v>-42.91466546027732</v>
      </c>
      <c r="L165" s="269">
        <f t="shared" si="23"/>
        <v>-10686</v>
      </c>
      <c r="M165" s="262"/>
      <c r="N165" s="271">
        <f>Données!S165</f>
        <v>39047.85</v>
      </c>
      <c r="O165" s="271">
        <f>Données!T165</f>
        <v>0</v>
      </c>
      <c r="P165" s="271">
        <f>Données!U165</f>
        <v>24291.599999999999</v>
      </c>
      <c r="Q165" s="246">
        <f>Données!V165</f>
        <v>0</v>
      </c>
      <c r="R165" s="233">
        <f t="shared" si="21"/>
        <v>31669.724999999999</v>
      </c>
      <c r="S165" s="250">
        <f t="shared" si="26"/>
        <v>-49136.437497778359</v>
      </c>
      <c r="T165" s="251">
        <f t="shared" si="24"/>
        <v>-17466.712497778361</v>
      </c>
    </row>
    <row r="166" spans="1:20" x14ac:dyDescent="0.25">
      <c r="A166" s="108">
        <f>Données!A166</f>
        <v>5684</v>
      </c>
      <c r="B166" s="120" t="str">
        <f>Données!B166</f>
        <v>Rossenges</v>
      </c>
      <c r="C166" s="249">
        <f>Données!C166</f>
        <v>82</v>
      </c>
      <c r="D166" s="246">
        <f>RFS!W166</f>
        <v>206442.2131041206</v>
      </c>
      <c r="E166" s="262"/>
      <c r="F166" s="268">
        <f t="shared" si="18"/>
        <v>2517.5879646843978</v>
      </c>
      <c r="G166" s="262">
        <f t="shared" si="25"/>
        <v>-910.80403946948763</v>
      </c>
      <c r="H166" s="269">
        <f t="shared" si="19"/>
        <v>-59748.744989198385</v>
      </c>
      <c r="I166" s="241"/>
      <c r="J166" s="233">
        <f t="shared" si="22"/>
        <v>3246.2311962599874</v>
      </c>
      <c r="K166" s="262">
        <f t="shared" si="20"/>
        <v>0</v>
      </c>
      <c r="L166" s="269">
        <f t="shared" si="23"/>
        <v>0</v>
      </c>
      <c r="M166" s="262"/>
      <c r="N166" s="271">
        <f>Données!S166</f>
        <v>0</v>
      </c>
      <c r="O166" s="271">
        <f>Données!T166</f>
        <v>0</v>
      </c>
      <c r="P166" s="271">
        <f>Données!U166</f>
        <v>0</v>
      </c>
      <c r="Q166" s="246">
        <f>Données!V166</f>
        <v>0</v>
      </c>
      <c r="R166" s="233">
        <f t="shared" si="21"/>
        <v>0</v>
      </c>
      <c r="S166" s="250">
        <f t="shared" si="26"/>
        <v>-16181.477408906931</v>
      </c>
      <c r="T166" s="251">
        <f t="shared" si="24"/>
        <v>-16181.477408906931</v>
      </c>
    </row>
    <row r="167" spans="1:20" x14ac:dyDescent="0.25">
      <c r="A167" s="108">
        <f>Données!A167</f>
        <v>5688</v>
      </c>
      <c r="B167" s="120" t="str">
        <f>Données!B167</f>
        <v>Syens</v>
      </c>
      <c r="C167" s="249">
        <f>Données!C167</f>
        <v>144</v>
      </c>
      <c r="D167" s="246">
        <f>RFS!W167</f>
        <v>300542.09506137861</v>
      </c>
      <c r="E167" s="262"/>
      <c r="F167" s="268">
        <f t="shared" si="18"/>
        <v>2087.0978823706846</v>
      </c>
      <c r="G167" s="262">
        <f t="shared" si="25"/>
        <v>-1341.2941217832008</v>
      </c>
      <c r="H167" s="269">
        <f t="shared" si="19"/>
        <v>-154517.08282942473</v>
      </c>
      <c r="I167" s="241"/>
      <c r="J167" s="233">
        <f t="shared" si="22"/>
        <v>3160.1331797972452</v>
      </c>
      <c r="K167" s="262">
        <f t="shared" si="20"/>
        <v>0</v>
      </c>
      <c r="L167" s="269">
        <f t="shared" si="23"/>
        <v>0</v>
      </c>
      <c r="M167" s="262"/>
      <c r="N167" s="271">
        <f>Données!S167</f>
        <v>37235</v>
      </c>
      <c r="O167" s="271">
        <f>Données!T167</f>
        <v>8599.7999999999993</v>
      </c>
      <c r="P167" s="271">
        <f>Données!U167</f>
        <v>42945.2</v>
      </c>
      <c r="Q167" s="246">
        <f>Données!V167</f>
        <v>5276.3</v>
      </c>
      <c r="R167" s="233">
        <f t="shared" si="21"/>
        <v>45972.89</v>
      </c>
      <c r="S167" s="250">
        <f t="shared" si="26"/>
        <v>-28416.25301076339</v>
      </c>
      <c r="T167" s="251">
        <f t="shared" si="24"/>
        <v>17556.636989236609</v>
      </c>
    </row>
    <row r="168" spans="1:20" x14ac:dyDescent="0.25">
      <c r="A168" s="108">
        <f>Données!A168</f>
        <v>5690</v>
      </c>
      <c r="B168" s="120" t="str">
        <f>Données!B168</f>
        <v>Villars-le-Comte</v>
      </c>
      <c r="C168" s="249">
        <f>Données!C168</f>
        <v>129</v>
      </c>
      <c r="D168" s="246">
        <f>RFS!W168</f>
        <v>304080.45266278303</v>
      </c>
      <c r="E168" s="262"/>
      <c r="F168" s="268">
        <f t="shared" si="18"/>
        <v>2357.2128113394033</v>
      </c>
      <c r="G168" s="262">
        <f t="shared" si="25"/>
        <v>-1071.1791928144821</v>
      </c>
      <c r="H168" s="269">
        <f t="shared" si="19"/>
        <v>-110545.69269845457</v>
      </c>
      <c r="I168" s="241"/>
      <c r="J168" s="233">
        <f t="shared" si="22"/>
        <v>3214.1561655909891</v>
      </c>
      <c r="K168" s="262">
        <f t="shared" si="20"/>
        <v>0</v>
      </c>
      <c r="L168" s="269">
        <f t="shared" si="23"/>
        <v>0</v>
      </c>
      <c r="M168" s="262"/>
      <c r="N168" s="271">
        <f>Données!S168</f>
        <v>18151.2</v>
      </c>
      <c r="O168" s="271">
        <f>Données!T168</f>
        <v>6122.6</v>
      </c>
      <c r="P168" s="271">
        <f>Données!U168</f>
        <v>22229.9</v>
      </c>
      <c r="Q168" s="246">
        <f>Données!V168</f>
        <v>0</v>
      </c>
      <c r="R168" s="233">
        <f t="shared" si="21"/>
        <v>23251.850000000002</v>
      </c>
      <c r="S168" s="250">
        <f t="shared" si="26"/>
        <v>-25456.226655475537</v>
      </c>
      <c r="T168" s="251">
        <f t="shared" si="24"/>
        <v>-2204.3766554755348</v>
      </c>
    </row>
    <row r="169" spans="1:20" x14ac:dyDescent="0.25">
      <c r="A169" s="108">
        <f>Données!A169</f>
        <v>5692</v>
      </c>
      <c r="B169" s="120" t="str">
        <f>Données!B169</f>
        <v>Vucherens</v>
      </c>
      <c r="C169" s="249">
        <f>Données!C169</f>
        <v>634</v>
      </c>
      <c r="D169" s="246">
        <f>RFS!W169</f>
        <v>1173359.4284009137</v>
      </c>
      <c r="E169" s="262"/>
      <c r="F169" s="268">
        <f t="shared" si="18"/>
        <v>1850.7246504746274</v>
      </c>
      <c r="G169" s="262">
        <f t="shared" si="25"/>
        <v>-1577.667353679258</v>
      </c>
      <c r="H169" s="269">
        <f t="shared" si="19"/>
        <v>-800192.88178611966</v>
      </c>
      <c r="I169" s="241"/>
      <c r="J169" s="233">
        <f t="shared" si="22"/>
        <v>3112.8585334180339</v>
      </c>
      <c r="K169" s="262">
        <f t="shared" si="20"/>
        <v>0</v>
      </c>
      <c r="L169" s="269">
        <f t="shared" si="23"/>
        <v>0</v>
      </c>
      <c r="M169" s="262"/>
      <c r="N169" s="271">
        <f>Données!S169</f>
        <v>80184.5</v>
      </c>
      <c r="O169" s="271">
        <f>Données!T169</f>
        <v>0</v>
      </c>
      <c r="P169" s="271">
        <f>Données!U169</f>
        <v>103457.65</v>
      </c>
      <c r="Q169" s="246">
        <f>Données!V169</f>
        <v>36300.75</v>
      </c>
      <c r="R169" s="233">
        <f t="shared" si="21"/>
        <v>102711.3</v>
      </c>
      <c r="S169" s="250">
        <f t="shared" si="26"/>
        <v>-125110.44728349992</v>
      </c>
      <c r="T169" s="251">
        <f t="shared" si="24"/>
        <v>-22399.147283499915</v>
      </c>
    </row>
    <row r="170" spans="1:20" x14ac:dyDescent="0.25">
      <c r="A170" s="108">
        <f>Données!A170</f>
        <v>5693</v>
      </c>
      <c r="B170" s="120" t="str">
        <f>Données!B170</f>
        <v>Montanaire</v>
      </c>
      <c r="C170" s="249">
        <f>Données!C170</f>
        <v>2856</v>
      </c>
      <c r="D170" s="246">
        <f>RFS!W170</f>
        <v>5306416.5453826366</v>
      </c>
      <c r="E170" s="262"/>
      <c r="F170" s="268">
        <f t="shared" si="18"/>
        <v>1857.9889864785141</v>
      </c>
      <c r="G170" s="262">
        <f t="shared" si="25"/>
        <v>-1570.4030176753713</v>
      </c>
      <c r="H170" s="269">
        <f t="shared" si="19"/>
        <v>-3588056.8147846884</v>
      </c>
      <c r="I170" s="241"/>
      <c r="J170" s="233">
        <f t="shared" si="22"/>
        <v>3114.3114006188111</v>
      </c>
      <c r="K170" s="262">
        <f t="shared" si="20"/>
        <v>0</v>
      </c>
      <c r="L170" s="269">
        <f t="shared" si="23"/>
        <v>0</v>
      </c>
      <c r="M170" s="262"/>
      <c r="N170" s="271">
        <f>Données!S170</f>
        <v>173184.7</v>
      </c>
      <c r="O170" s="271">
        <f>Données!T170</f>
        <v>1320</v>
      </c>
      <c r="P170" s="271">
        <f>Données!U170</f>
        <v>133530.54999999999</v>
      </c>
      <c r="Q170" s="246">
        <f>Données!V170</f>
        <v>60255.85</v>
      </c>
      <c r="R170" s="233">
        <f t="shared" si="21"/>
        <v>172094.38</v>
      </c>
      <c r="S170" s="250">
        <f t="shared" si="26"/>
        <v>-563589.01804680726</v>
      </c>
      <c r="T170" s="251">
        <f t="shared" si="24"/>
        <v>-391494.63804680726</v>
      </c>
    </row>
    <row r="171" spans="1:20" x14ac:dyDescent="0.25">
      <c r="A171" s="108">
        <f>Données!A171</f>
        <v>5701</v>
      </c>
      <c r="B171" s="120" t="str">
        <f>Données!B171</f>
        <v>Arnex-sur-Nyon</v>
      </c>
      <c r="C171" s="249">
        <f>Données!C171</f>
        <v>274</v>
      </c>
      <c r="D171" s="246">
        <f>RFS!W171</f>
        <v>1274489.5915930264</v>
      </c>
      <c r="E171" s="262"/>
      <c r="F171" s="268">
        <f t="shared" si="18"/>
        <v>4651.421867127834</v>
      </c>
      <c r="G171" s="262">
        <f t="shared" si="25"/>
        <v>1223.0298629739486</v>
      </c>
      <c r="H171" s="269">
        <f t="shared" si="19"/>
        <v>268088.14596388955</v>
      </c>
      <c r="I171" s="241"/>
      <c r="J171" s="233">
        <f t="shared" si="22"/>
        <v>3672.9979767486748</v>
      </c>
      <c r="K171" s="262">
        <f t="shared" si="20"/>
        <v>0</v>
      </c>
      <c r="L171" s="269">
        <f t="shared" si="23"/>
        <v>0</v>
      </c>
      <c r="M171" s="262"/>
      <c r="N171" s="271">
        <f>Données!S171</f>
        <v>108143.15</v>
      </c>
      <c r="O171" s="271">
        <f>Données!T171</f>
        <v>8125</v>
      </c>
      <c r="P171" s="271">
        <f>Données!U171</f>
        <v>65294.899999999994</v>
      </c>
      <c r="Q171" s="246">
        <f>Données!V171</f>
        <v>0</v>
      </c>
      <c r="R171" s="233">
        <f t="shared" si="21"/>
        <v>90781.524999999994</v>
      </c>
      <c r="S171" s="250">
        <f t="shared" si="26"/>
        <v>-54069.814756591448</v>
      </c>
      <c r="T171" s="251">
        <f t="shared" si="24"/>
        <v>36711.710243408546</v>
      </c>
    </row>
    <row r="172" spans="1:20" x14ac:dyDescent="0.25">
      <c r="A172" s="108">
        <f>Données!A172</f>
        <v>5702</v>
      </c>
      <c r="B172" s="120" t="str">
        <f>Données!B172</f>
        <v>Arzier-Le Muids</v>
      </c>
      <c r="C172" s="249">
        <f>Données!C172</f>
        <v>2999</v>
      </c>
      <c r="D172" s="246">
        <f>RFS!W172</f>
        <v>12721315.786855545</v>
      </c>
      <c r="E172" s="262"/>
      <c r="F172" s="268">
        <f t="shared" si="18"/>
        <v>4241.8525464673376</v>
      </c>
      <c r="G172" s="262">
        <f t="shared" si="25"/>
        <v>813.46054231345215</v>
      </c>
      <c r="H172" s="269">
        <f t="shared" si="19"/>
        <v>1951654.5331184345</v>
      </c>
      <c r="I172" s="241"/>
      <c r="J172" s="233">
        <f t="shared" si="22"/>
        <v>3591.0841126165756</v>
      </c>
      <c r="K172" s="262">
        <f t="shared" si="20"/>
        <v>0</v>
      </c>
      <c r="L172" s="269">
        <f t="shared" si="23"/>
        <v>0</v>
      </c>
      <c r="M172" s="262"/>
      <c r="N172" s="271">
        <f>Données!S172</f>
        <v>820741.9</v>
      </c>
      <c r="O172" s="271">
        <f>Données!T172</f>
        <v>100301.19999999995</v>
      </c>
      <c r="P172" s="271">
        <f>Données!U172</f>
        <v>522882.1</v>
      </c>
      <c r="Q172" s="246">
        <f>Données!V172</f>
        <v>73450.75</v>
      </c>
      <c r="R172" s="233">
        <f t="shared" si="21"/>
        <v>743997.82499999995</v>
      </c>
      <c r="S172" s="250">
        <f t="shared" si="26"/>
        <v>-591807.93596721813</v>
      </c>
      <c r="T172" s="251">
        <f t="shared" si="24"/>
        <v>152189.88903278182</v>
      </c>
    </row>
    <row r="173" spans="1:20" x14ac:dyDescent="0.25">
      <c r="A173" s="108">
        <f>Données!A173</f>
        <v>5703</v>
      </c>
      <c r="B173" s="120" t="str">
        <f>Données!B173</f>
        <v>Bassins</v>
      </c>
      <c r="C173" s="249">
        <f>Données!C173</f>
        <v>1468</v>
      </c>
      <c r="D173" s="246">
        <f>RFS!W173</f>
        <v>4658368.324584242</v>
      </c>
      <c r="E173" s="262"/>
      <c r="F173" s="268">
        <f t="shared" si="18"/>
        <v>3173.2754254661049</v>
      </c>
      <c r="G173" s="262">
        <f t="shared" si="25"/>
        <v>-255.11657868778047</v>
      </c>
      <c r="H173" s="269">
        <f t="shared" si="19"/>
        <v>-299608.91001092939</v>
      </c>
      <c r="I173" s="241"/>
      <c r="J173" s="233">
        <f t="shared" si="22"/>
        <v>3377.368688416329</v>
      </c>
      <c r="K173" s="262">
        <f t="shared" si="20"/>
        <v>0</v>
      </c>
      <c r="L173" s="269">
        <f t="shared" si="23"/>
        <v>0</v>
      </c>
      <c r="M173" s="262"/>
      <c r="N173" s="271">
        <f>Données!S173</f>
        <v>246419.20000000001</v>
      </c>
      <c r="O173" s="271">
        <f>Données!T173</f>
        <v>0</v>
      </c>
      <c r="P173" s="271">
        <f>Données!U173</f>
        <v>268882.95</v>
      </c>
      <c r="Q173" s="246">
        <f>Données!V173</f>
        <v>14044.05</v>
      </c>
      <c r="R173" s="233">
        <f t="shared" si="21"/>
        <v>261864.29</v>
      </c>
      <c r="S173" s="250">
        <f t="shared" si="26"/>
        <v>-289687.91263750457</v>
      </c>
      <c r="T173" s="251">
        <f t="shared" si="24"/>
        <v>-27823.622637504566</v>
      </c>
    </row>
    <row r="174" spans="1:20" x14ac:dyDescent="0.25">
      <c r="A174" s="108">
        <f>Données!A174</f>
        <v>5704</v>
      </c>
      <c r="B174" s="120" t="str">
        <f>Données!B174</f>
        <v>Begnins</v>
      </c>
      <c r="C174" s="249">
        <f>Données!C174</f>
        <v>2047</v>
      </c>
      <c r="D174" s="246">
        <f>RFS!W174</f>
        <v>10816834.497494113</v>
      </c>
      <c r="E174" s="262"/>
      <c r="F174" s="268">
        <f t="shared" si="18"/>
        <v>5284.2376636512518</v>
      </c>
      <c r="G174" s="262">
        <f t="shared" si="25"/>
        <v>1855.8456594973663</v>
      </c>
      <c r="H174" s="269">
        <f t="shared" si="19"/>
        <v>3039132.8519928874</v>
      </c>
      <c r="I174" s="241"/>
      <c r="J174" s="233">
        <f t="shared" si="22"/>
        <v>3799.5611360533585</v>
      </c>
      <c r="K174" s="262">
        <f t="shared" si="20"/>
        <v>0</v>
      </c>
      <c r="L174" s="269">
        <f t="shared" si="23"/>
        <v>0</v>
      </c>
      <c r="M174" s="262"/>
      <c r="N174" s="271">
        <f>Données!S174</f>
        <v>383659.3</v>
      </c>
      <c r="O174" s="271">
        <f>Données!T174</f>
        <v>179071</v>
      </c>
      <c r="P174" s="271">
        <f>Données!U174</f>
        <v>310026.09999999998</v>
      </c>
      <c r="Q174" s="246">
        <f>Données!V174</f>
        <v>46546.8</v>
      </c>
      <c r="R174" s="233">
        <f t="shared" si="21"/>
        <v>450342.24</v>
      </c>
      <c r="S174" s="250">
        <f t="shared" si="26"/>
        <v>-403944.92995161569</v>
      </c>
      <c r="T174" s="251">
        <f t="shared" si="24"/>
        <v>46397.310048384301</v>
      </c>
    </row>
    <row r="175" spans="1:20" x14ac:dyDescent="0.25">
      <c r="A175" s="108">
        <f>Données!A175</f>
        <v>5705</v>
      </c>
      <c r="B175" s="120" t="str">
        <f>Données!B175</f>
        <v>Bogis-Bossey</v>
      </c>
      <c r="C175" s="249">
        <f>Données!C175</f>
        <v>961</v>
      </c>
      <c r="D175" s="246">
        <f>RFS!W175</f>
        <v>4031429.5808444829</v>
      </c>
      <c r="E175" s="262"/>
      <c r="F175" s="268">
        <f t="shared" si="18"/>
        <v>4195.0359842294311</v>
      </c>
      <c r="G175" s="262">
        <f t="shared" si="25"/>
        <v>766.64398007554564</v>
      </c>
      <c r="H175" s="269">
        <f t="shared" si="19"/>
        <v>589395.89188207954</v>
      </c>
      <c r="I175" s="241"/>
      <c r="J175" s="233">
        <f t="shared" si="22"/>
        <v>3581.7208001689942</v>
      </c>
      <c r="K175" s="262">
        <f t="shared" si="20"/>
        <v>0</v>
      </c>
      <c r="L175" s="269">
        <f t="shared" si="23"/>
        <v>0</v>
      </c>
      <c r="M175" s="262"/>
      <c r="N175" s="271">
        <f>Données!S175</f>
        <v>364798.5</v>
      </c>
      <c r="O175" s="271">
        <f>Données!T175</f>
        <v>0</v>
      </c>
      <c r="P175" s="271">
        <f>Données!U175</f>
        <v>140194.4</v>
      </c>
      <c r="Q175" s="246">
        <f>Données!V175</f>
        <v>64225.2</v>
      </c>
      <c r="R175" s="233">
        <f t="shared" si="21"/>
        <v>271764.01</v>
      </c>
      <c r="S175" s="250">
        <f t="shared" si="26"/>
        <v>-189639.02182877512</v>
      </c>
      <c r="T175" s="251">
        <f t="shared" si="24"/>
        <v>82124.98817122489</v>
      </c>
    </row>
    <row r="176" spans="1:20" x14ac:dyDescent="0.25">
      <c r="A176" s="108">
        <f>Données!A176</f>
        <v>5706</v>
      </c>
      <c r="B176" s="120" t="str">
        <f>Données!B176</f>
        <v>Borex</v>
      </c>
      <c r="C176" s="249">
        <f>Données!C176</f>
        <v>1168</v>
      </c>
      <c r="D176" s="246">
        <f>RFS!W176</f>
        <v>5366010.8756854441</v>
      </c>
      <c r="E176" s="262"/>
      <c r="F176" s="268">
        <f t="shared" si="18"/>
        <v>4594.1873935663052</v>
      </c>
      <c r="G176" s="262">
        <f t="shared" si="25"/>
        <v>1165.7953894124198</v>
      </c>
      <c r="H176" s="269">
        <f t="shared" si="19"/>
        <v>1089319.2118669653</v>
      </c>
      <c r="I176" s="241"/>
      <c r="J176" s="233">
        <f t="shared" si="22"/>
        <v>3661.5510820363688</v>
      </c>
      <c r="K176" s="262">
        <f t="shared" si="20"/>
        <v>0</v>
      </c>
      <c r="L176" s="269">
        <f t="shared" si="23"/>
        <v>0</v>
      </c>
      <c r="M176" s="262"/>
      <c r="N176" s="271">
        <f>Données!S176</f>
        <v>97086.65</v>
      </c>
      <c r="O176" s="271">
        <f>Données!T176</f>
        <v>0</v>
      </c>
      <c r="P176" s="271">
        <f>Données!U176</f>
        <v>81405.75</v>
      </c>
      <c r="Q176" s="246">
        <f>Données!V176</f>
        <v>14956.6</v>
      </c>
      <c r="R176" s="233">
        <f t="shared" si="21"/>
        <v>93733.18</v>
      </c>
      <c r="S176" s="250">
        <f t="shared" si="26"/>
        <v>-230487.38553174748</v>
      </c>
      <c r="T176" s="251">
        <f t="shared" si="24"/>
        <v>-136754.20553174749</v>
      </c>
    </row>
    <row r="177" spans="1:20" x14ac:dyDescent="0.25">
      <c r="A177" s="108">
        <f>Données!A177</f>
        <v>5707</v>
      </c>
      <c r="B177" s="120" t="str">
        <f>Données!B177</f>
        <v>Chavannes-de-Bogis</v>
      </c>
      <c r="C177" s="249">
        <f>Données!C177</f>
        <v>1423</v>
      </c>
      <c r="D177" s="246">
        <f>RFS!W177</f>
        <v>5728252.849661652</v>
      </c>
      <c r="E177" s="262"/>
      <c r="F177" s="268">
        <f t="shared" si="18"/>
        <v>4025.4763525380549</v>
      </c>
      <c r="G177" s="262">
        <f t="shared" si="25"/>
        <v>597.08434838416952</v>
      </c>
      <c r="H177" s="269">
        <f t="shared" si="19"/>
        <v>679720.82220053859</v>
      </c>
      <c r="I177" s="241"/>
      <c r="J177" s="233">
        <f t="shared" si="22"/>
        <v>3547.8088738307192</v>
      </c>
      <c r="K177" s="262">
        <f t="shared" si="20"/>
        <v>0</v>
      </c>
      <c r="L177" s="269">
        <f t="shared" si="23"/>
        <v>0</v>
      </c>
      <c r="M177" s="262"/>
      <c r="N177" s="271">
        <f>Données!S177</f>
        <v>474721.45</v>
      </c>
      <c r="O177" s="271">
        <f>Données!T177</f>
        <v>0</v>
      </c>
      <c r="P177" s="271">
        <f>Données!U177</f>
        <v>249822.1</v>
      </c>
      <c r="Q177" s="246">
        <f>Données!V177</f>
        <v>769499</v>
      </c>
      <c r="R177" s="233">
        <f t="shared" si="21"/>
        <v>593121.47499999998</v>
      </c>
      <c r="S177" s="250">
        <f t="shared" si="26"/>
        <v>-280807.83357164101</v>
      </c>
      <c r="T177" s="251">
        <f t="shared" si="24"/>
        <v>312313.64142835897</v>
      </c>
    </row>
    <row r="178" spans="1:20" x14ac:dyDescent="0.25">
      <c r="A178" s="108">
        <f>Données!A178</f>
        <v>5708</v>
      </c>
      <c r="B178" s="120" t="str">
        <f>Données!B178</f>
        <v>Chavannes-des-Bois</v>
      </c>
      <c r="C178" s="249">
        <f>Données!C178</f>
        <v>983</v>
      </c>
      <c r="D178" s="246">
        <f>RFS!W178</f>
        <v>4701581.4086373309</v>
      </c>
      <c r="E178" s="262"/>
      <c r="F178" s="268">
        <f t="shared" si="18"/>
        <v>4782.8905479525238</v>
      </c>
      <c r="G178" s="262">
        <f t="shared" si="25"/>
        <v>1354.4985437986384</v>
      </c>
      <c r="H178" s="269">
        <f t="shared" si="19"/>
        <v>1065177.6548432491</v>
      </c>
      <c r="I178" s="241"/>
      <c r="J178" s="233">
        <f t="shared" si="22"/>
        <v>3699.2917129136131</v>
      </c>
      <c r="K178" s="262">
        <f t="shared" si="20"/>
        <v>0</v>
      </c>
      <c r="L178" s="269">
        <f t="shared" si="23"/>
        <v>0</v>
      </c>
      <c r="M178" s="262"/>
      <c r="N178" s="271">
        <f>Données!S178</f>
        <v>194071.4</v>
      </c>
      <c r="O178" s="271">
        <f>Données!T178</f>
        <v>0</v>
      </c>
      <c r="P178" s="271">
        <f>Données!U178</f>
        <v>85556.1</v>
      </c>
      <c r="Q178" s="246">
        <f>Données!V178</f>
        <v>19698.400000000001</v>
      </c>
      <c r="R178" s="233">
        <f t="shared" si="21"/>
        <v>145723.26999999999</v>
      </c>
      <c r="S178" s="250">
        <f t="shared" si="26"/>
        <v>-193980.39381653065</v>
      </c>
      <c r="T178" s="251">
        <f t="shared" si="24"/>
        <v>-48257.123816530657</v>
      </c>
    </row>
    <row r="179" spans="1:20" x14ac:dyDescent="0.25">
      <c r="A179" s="108">
        <f>Données!A179</f>
        <v>5709</v>
      </c>
      <c r="B179" s="120" t="str">
        <f>Données!B179</f>
        <v>Chéserex</v>
      </c>
      <c r="C179" s="249">
        <f>Données!C179</f>
        <v>1272</v>
      </c>
      <c r="D179" s="246">
        <f>RFS!W179</f>
        <v>8202415.767706926</v>
      </c>
      <c r="E179" s="262"/>
      <c r="F179" s="268">
        <f t="shared" si="18"/>
        <v>6448.4400689519862</v>
      </c>
      <c r="G179" s="262">
        <f t="shared" si="25"/>
        <v>3020.0480647981008</v>
      </c>
      <c r="H179" s="269">
        <f t="shared" si="19"/>
        <v>3073200.9107385478</v>
      </c>
      <c r="I179" s="241"/>
      <c r="J179" s="233">
        <f t="shared" si="22"/>
        <v>4032.4016171135054</v>
      </c>
      <c r="K179" s="262">
        <f t="shared" si="20"/>
        <v>0</v>
      </c>
      <c r="L179" s="269">
        <f t="shared" si="23"/>
        <v>0</v>
      </c>
      <c r="M179" s="262"/>
      <c r="N179" s="271">
        <f>Données!S179</f>
        <v>234669.85</v>
      </c>
      <c r="O179" s="271">
        <f>Données!T179</f>
        <v>1540</v>
      </c>
      <c r="P179" s="271">
        <f>Données!U179</f>
        <v>78971.5</v>
      </c>
      <c r="Q179" s="246">
        <f>Données!V179</f>
        <v>63767.95</v>
      </c>
      <c r="R179" s="233">
        <f t="shared" si="21"/>
        <v>176721.06</v>
      </c>
      <c r="S179" s="250">
        <f t="shared" si="26"/>
        <v>-251010.23492840995</v>
      </c>
      <c r="T179" s="251">
        <f t="shared" si="24"/>
        <v>-74289.17492840995</v>
      </c>
    </row>
    <row r="180" spans="1:20" x14ac:dyDescent="0.25">
      <c r="A180" s="108">
        <f>Données!A180</f>
        <v>5710</v>
      </c>
      <c r="B180" s="120" t="str">
        <f>Données!B180</f>
        <v>Coinsins</v>
      </c>
      <c r="C180" s="249">
        <f>Données!C180</f>
        <v>510</v>
      </c>
      <c r="D180" s="246">
        <f>RFS!W180</f>
        <v>1894637.5002576776</v>
      </c>
      <c r="E180" s="262"/>
      <c r="F180" s="268">
        <f t="shared" si="18"/>
        <v>3714.9754907013289</v>
      </c>
      <c r="G180" s="262">
        <f t="shared" si="25"/>
        <v>286.5834865474435</v>
      </c>
      <c r="H180" s="269">
        <f t="shared" si="19"/>
        <v>116926.06251135695</v>
      </c>
      <c r="I180" s="241"/>
      <c r="J180" s="233">
        <f t="shared" si="22"/>
        <v>3485.7087014633739</v>
      </c>
      <c r="K180" s="262">
        <f t="shared" si="20"/>
        <v>0</v>
      </c>
      <c r="L180" s="269">
        <f t="shared" si="23"/>
        <v>0</v>
      </c>
      <c r="M180" s="262"/>
      <c r="N180" s="271">
        <f>Données!S180</f>
        <v>88160</v>
      </c>
      <c r="O180" s="271">
        <f>Données!T180</f>
        <v>0</v>
      </c>
      <c r="P180" s="271">
        <f>Données!U180</f>
        <v>56194.25</v>
      </c>
      <c r="Q180" s="246">
        <f>Données!V180</f>
        <v>96996.5</v>
      </c>
      <c r="R180" s="233">
        <f t="shared" si="21"/>
        <v>101276.075</v>
      </c>
      <c r="S180" s="250">
        <f t="shared" si="26"/>
        <v>-100640.89607978701</v>
      </c>
      <c r="T180" s="251">
        <f t="shared" si="24"/>
        <v>635.17892021298758</v>
      </c>
    </row>
    <row r="181" spans="1:20" x14ac:dyDescent="0.25">
      <c r="A181" s="108">
        <f>Données!A181</f>
        <v>5711</v>
      </c>
      <c r="B181" s="120" t="str">
        <f>Données!B181</f>
        <v>Commugny</v>
      </c>
      <c r="C181" s="249">
        <f>Données!C181</f>
        <v>2968</v>
      </c>
      <c r="D181" s="246">
        <f>RFS!W181</f>
        <v>20519942.587321494</v>
      </c>
      <c r="E181" s="262"/>
      <c r="F181" s="268">
        <f t="shared" si="18"/>
        <v>6913.7272868333876</v>
      </c>
      <c r="G181" s="262">
        <f t="shared" si="25"/>
        <v>3485.3352826795021</v>
      </c>
      <c r="H181" s="269">
        <f t="shared" si="19"/>
        <v>8275580.0951942112</v>
      </c>
      <c r="I181" s="241"/>
      <c r="J181" s="233">
        <f t="shared" si="22"/>
        <v>4125.4590606897855</v>
      </c>
      <c r="K181" s="262">
        <f t="shared" si="20"/>
        <v>0</v>
      </c>
      <c r="L181" s="269">
        <f t="shared" si="23"/>
        <v>0</v>
      </c>
      <c r="M181" s="262"/>
      <c r="N181" s="271">
        <f>Données!S181</f>
        <v>928319.75</v>
      </c>
      <c r="O181" s="271">
        <f>Données!T181</f>
        <v>4653</v>
      </c>
      <c r="P181" s="271">
        <f>Données!U181</f>
        <v>613418.65</v>
      </c>
      <c r="Q181" s="246">
        <f>Données!V181</f>
        <v>47379.55</v>
      </c>
      <c r="R181" s="233">
        <f t="shared" si="21"/>
        <v>787409.56499999994</v>
      </c>
      <c r="S181" s="250">
        <f t="shared" si="26"/>
        <v>-585690.54816628981</v>
      </c>
      <c r="T181" s="251">
        <f t="shared" si="24"/>
        <v>201719.01683371013</v>
      </c>
    </row>
    <row r="182" spans="1:20" x14ac:dyDescent="0.25">
      <c r="A182" s="108">
        <f>Données!A182</f>
        <v>5712</v>
      </c>
      <c r="B182" s="120" t="str">
        <f>Données!B182</f>
        <v>Coppet</v>
      </c>
      <c r="C182" s="249">
        <f>Données!C182</f>
        <v>3233</v>
      </c>
      <c r="D182" s="246">
        <f>RFS!W182</f>
        <v>29855783.979859207</v>
      </c>
      <c r="E182" s="262"/>
      <c r="F182" s="268">
        <f t="shared" si="18"/>
        <v>9234.6996535289836</v>
      </c>
      <c r="G182" s="262">
        <f t="shared" si="25"/>
        <v>5806.3076493750978</v>
      </c>
      <c r="H182" s="269">
        <f t="shared" si="19"/>
        <v>15017434.104343751</v>
      </c>
      <c r="I182" s="241"/>
      <c r="J182" s="233">
        <f t="shared" si="22"/>
        <v>4589.6535340289065</v>
      </c>
      <c r="K182" s="262">
        <f t="shared" si="20"/>
        <v>0</v>
      </c>
      <c r="L182" s="269">
        <f t="shared" si="23"/>
        <v>0</v>
      </c>
      <c r="M182" s="262"/>
      <c r="N182" s="271">
        <f>Données!S182</f>
        <v>1217217.3</v>
      </c>
      <c r="O182" s="271">
        <f>Données!T182</f>
        <v>423394.89999999851</v>
      </c>
      <c r="P182" s="271">
        <f>Données!U182</f>
        <v>1678296.7</v>
      </c>
      <c r="Q182" s="246">
        <f>Données!V182</f>
        <v>152574.15</v>
      </c>
      <c r="R182" s="233">
        <f t="shared" si="21"/>
        <v>1705226.6949999994</v>
      </c>
      <c r="S182" s="250">
        <f t="shared" si="26"/>
        <v>-637984.34710970859</v>
      </c>
      <c r="T182" s="251">
        <f t="shared" si="24"/>
        <v>1067242.3478902909</v>
      </c>
    </row>
    <row r="183" spans="1:20" x14ac:dyDescent="0.25">
      <c r="A183" s="108">
        <f>Données!A183</f>
        <v>5713</v>
      </c>
      <c r="B183" s="120" t="str">
        <f>Données!B183</f>
        <v>Crans</v>
      </c>
      <c r="C183" s="249">
        <f>Données!C183</f>
        <v>2483</v>
      </c>
      <c r="D183" s="246">
        <f>RFS!W183</f>
        <v>20333974.24434619</v>
      </c>
      <c r="E183" s="262"/>
      <c r="F183" s="268">
        <f t="shared" si="18"/>
        <v>8189.2767798413979</v>
      </c>
      <c r="G183" s="262">
        <f t="shared" si="25"/>
        <v>4760.884775687513</v>
      </c>
      <c r="H183" s="269">
        <f t="shared" si="19"/>
        <v>9457021.518425677</v>
      </c>
      <c r="I183" s="241"/>
      <c r="J183" s="233">
        <f t="shared" si="22"/>
        <v>4380.5689592913868</v>
      </c>
      <c r="K183" s="262">
        <f t="shared" si="20"/>
        <v>0</v>
      </c>
      <c r="L183" s="269">
        <f t="shared" si="23"/>
        <v>0</v>
      </c>
      <c r="M183" s="262"/>
      <c r="N183" s="271">
        <f>Données!S183</f>
        <v>591733</v>
      </c>
      <c r="O183" s="271">
        <f>Données!T183</f>
        <v>675629.5</v>
      </c>
      <c r="P183" s="271">
        <f>Données!U183</f>
        <v>254963.1</v>
      </c>
      <c r="Q183" s="246">
        <f>Données!V183</f>
        <v>41616.400000000001</v>
      </c>
      <c r="R183" s="233">
        <f t="shared" si="21"/>
        <v>773647.72000000009</v>
      </c>
      <c r="S183" s="250">
        <f t="shared" si="26"/>
        <v>-489983.02934531594</v>
      </c>
      <c r="T183" s="251">
        <f t="shared" si="24"/>
        <v>283664.69065468415</v>
      </c>
    </row>
    <row r="184" spans="1:20" x14ac:dyDescent="0.25">
      <c r="A184" s="108">
        <f>Données!A184</f>
        <v>5714</v>
      </c>
      <c r="B184" s="120" t="str">
        <f>Données!B184</f>
        <v>Crassier</v>
      </c>
      <c r="C184" s="249">
        <f>Données!C184</f>
        <v>1272</v>
      </c>
      <c r="D184" s="246">
        <f>RFS!W184</f>
        <v>4553306.5336108599</v>
      </c>
      <c r="E184" s="262"/>
      <c r="F184" s="268">
        <f t="shared" si="18"/>
        <v>3579.6435012663992</v>
      </c>
      <c r="G184" s="262">
        <f t="shared" si="25"/>
        <v>151.25149711251379</v>
      </c>
      <c r="H184" s="269">
        <f t="shared" si="19"/>
        <v>153913.52346169404</v>
      </c>
      <c r="I184" s="241"/>
      <c r="J184" s="233">
        <f t="shared" si="22"/>
        <v>3458.6423035763883</v>
      </c>
      <c r="K184" s="262">
        <f t="shared" si="20"/>
        <v>0</v>
      </c>
      <c r="L184" s="269">
        <f t="shared" si="23"/>
        <v>0</v>
      </c>
      <c r="M184" s="262"/>
      <c r="N184" s="271">
        <f>Données!S184</f>
        <v>200463.75</v>
      </c>
      <c r="O184" s="271">
        <f>Données!T184</f>
        <v>13496.4</v>
      </c>
      <c r="P184" s="271">
        <f>Données!U184</f>
        <v>69416.649999999994</v>
      </c>
      <c r="Q184" s="246">
        <f>Données!V184</f>
        <v>104406.75</v>
      </c>
      <c r="R184" s="233">
        <f t="shared" si="21"/>
        <v>173010.42499999999</v>
      </c>
      <c r="S184" s="250">
        <f t="shared" si="26"/>
        <v>-251010.23492840995</v>
      </c>
      <c r="T184" s="251">
        <f t="shared" si="24"/>
        <v>-77999.809928409959</v>
      </c>
    </row>
    <row r="185" spans="1:20" x14ac:dyDescent="0.25">
      <c r="A185" s="108">
        <f>Données!A185</f>
        <v>5715</v>
      </c>
      <c r="B185" s="120" t="str">
        <f>Données!B185</f>
        <v>Duillier</v>
      </c>
      <c r="C185" s="249">
        <f>Données!C185</f>
        <v>1120</v>
      </c>
      <c r="D185" s="246">
        <f>RFS!W185</f>
        <v>5495207.7825244702</v>
      </c>
      <c r="E185" s="262"/>
      <c r="F185" s="268">
        <f t="shared" si="18"/>
        <v>4906.4355201111339</v>
      </c>
      <c r="G185" s="262">
        <f t="shared" si="25"/>
        <v>1478.0435159572485</v>
      </c>
      <c r="H185" s="269">
        <f t="shared" si="19"/>
        <v>1324326.9902976947</v>
      </c>
      <c r="I185" s="241"/>
      <c r="J185" s="233">
        <f t="shared" si="22"/>
        <v>3724.0007073453353</v>
      </c>
      <c r="K185" s="262">
        <f t="shared" si="20"/>
        <v>0</v>
      </c>
      <c r="L185" s="269">
        <f t="shared" si="23"/>
        <v>0</v>
      </c>
      <c r="M185" s="262"/>
      <c r="N185" s="271">
        <f>Données!S185</f>
        <v>395477.3</v>
      </c>
      <c r="O185" s="271">
        <f>Données!T185</f>
        <v>0</v>
      </c>
      <c r="P185" s="271">
        <f>Données!U185</f>
        <v>408027.25</v>
      </c>
      <c r="Q185" s="246">
        <f>Données!V185</f>
        <v>166077.35</v>
      </c>
      <c r="R185" s="233">
        <f t="shared" si="21"/>
        <v>451575.48000000004</v>
      </c>
      <c r="S185" s="250">
        <f t="shared" si="26"/>
        <v>-221015.30119482637</v>
      </c>
      <c r="T185" s="251">
        <f t="shared" si="24"/>
        <v>230560.17880517367</v>
      </c>
    </row>
    <row r="186" spans="1:20" x14ac:dyDescent="0.25">
      <c r="A186" s="108">
        <f>Données!A186</f>
        <v>5716</v>
      </c>
      <c r="B186" s="120" t="str">
        <f>Données!B186</f>
        <v>Eysins</v>
      </c>
      <c r="C186" s="249">
        <f>Données!C186</f>
        <v>1811</v>
      </c>
      <c r="D186" s="246">
        <f>RFS!W186</f>
        <v>25481597.628772624</v>
      </c>
      <c r="E186" s="262"/>
      <c r="F186" s="268">
        <f t="shared" si="18"/>
        <v>14070.457000978809</v>
      </c>
      <c r="G186" s="262">
        <f t="shared" si="25"/>
        <v>10642.064996824924</v>
      </c>
      <c r="H186" s="269">
        <f t="shared" si="19"/>
        <v>15418223.76739995</v>
      </c>
      <c r="I186" s="241"/>
      <c r="J186" s="233">
        <f t="shared" si="22"/>
        <v>5556.8050035188699</v>
      </c>
      <c r="K186" s="262">
        <f t="shared" si="20"/>
        <v>0</v>
      </c>
      <c r="L186" s="269">
        <f t="shared" si="23"/>
        <v>0</v>
      </c>
      <c r="M186" s="262"/>
      <c r="N186" s="271">
        <f>Données!S186</f>
        <v>281863.45</v>
      </c>
      <c r="O186" s="271">
        <f>Données!T186</f>
        <v>15555.4</v>
      </c>
      <c r="P186" s="271">
        <f>Données!U186</f>
        <v>181899.85</v>
      </c>
      <c r="Q186" s="246">
        <f>Données!V186</f>
        <v>443834.05</v>
      </c>
      <c r="R186" s="233">
        <f t="shared" si="21"/>
        <v>372809.56500000006</v>
      </c>
      <c r="S186" s="250">
        <f t="shared" si="26"/>
        <v>-357373.84862842015</v>
      </c>
      <c r="T186" s="251">
        <f t="shared" si="24"/>
        <v>15435.716371579911</v>
      </c>
    </row>
    <row r="187" spans="1:20" x14ac:dyDescent="0.25">
      <c r="A187" s="108">
        <f>Données!A187</f>
        <v>5717</v>
      </c>
      <c r="B187" s="120" t="str">
        <f>Données!B187</f>
        <v>Founex</v>
      </c>
      <c r="C187" s="249">
        <f>Données!C187</f>
        <v>3737</v>
      </c>
      <c r="D187" s="246">
        <f>RFS!W187</f>
        <v>28071944.766847387</v>
      </c>
      <c r="E187" s="262"/>
      <c r="F187" s="268">
        <f t="shared" si="18"/>
        <v>7511.8931674732103</v>
      </c>
      <c r="G187" s="262">
        <f t="shared" si="25"/>
        <v>4083.5011633193249</v>
      </c>
      <c r="H187" s="269">
        <f t="shared" si="19"/>
        <v>12208035.077859454</v>
      </c>
      <c r="I187" s="241"/>
      <c r="J187" s="233">
        <f t="shared" si="22"/>
        <v>4245.0922368177507</v>
      </c>
      <c r="K187" s="262">
        <f t="shared" si="20"/>
        <v>0</v>
      </c>
      <c r="L187" s="269">
        <f t="shared" si="23"/>
        <v>0</v>
      </c>
      <c r="M187" s="262"/>
      <c r="N187" s="271">
        <f>Données!S187</f>
        <v>1193386.5</v>
      </c>
      <c r="O187" s="271">
        <f>Données!T187</f>
        <v>24967.300000000047</v>
      </c>
      <c r="P187" s="271">
        <f>Données!U187</f>
        <v>1058999.2</v>
      </c>
      <c r="Q187" s="246">
        <f>Données!V187</f>
        <v>275412.7</v>
      </c>
      <c r="R187" s="233">
        <f t="shared" si="21"/>
        <v>1221300.31</v>
      </c>
      <c r="S187" s="250">
        <f t="shared" si="26"/>
        <v>-737441.23264738044</v>
      </c>
      <c r="T187" s="251">
        <f t="shared" si="24"/>
        <v>483859.07735261961</v>
      </c>
    </row>
    <row r="188" spans="1:20" x14ac:dyDescent="0.25">
      <c r="A188" s="108">
        <f>Données!A188</f>
        <v>5718</v>
      </c>
      <c r="B188" s="120" t="str">
        <f>Données!B188</f>
        <v>Genolier</v>
      </c>
      <c r="C188" s="249">
        <f>Données!C188</f>
        <v>2071</v>
      </c>
      <c r="D188" s="246">
        <f>RFS!W188</f>
        <v>14733351.46009334</v>
      </c>
      <c r="E188" s="262"/>
      <c r="F188" s="268">
        <f t="shared" si="18"/>
        <v>7114.1243168002611</v>
      </c>
      <c r="G188" s="262">
        <f t="shared" si="25"/>
        <v>3685.7323126463757</v>
      </c>
      <c r="H188" s="269">
        <f t="shared" si="19"/>
        <v>6106521.2955925157</v>
      </c>
      <c r="I188" s="241"/>
      <c r="J188" s="233">
        <f t="shared" si="22"/>
        <v>4165.5384666831606</v>
      </c>
      <c r="K188" s="262">
        <f t="shared" si="20"/>
        <v>0</v>
      </c>
      <c r="L188" s="269">
        <f t="shared" si="23"/>
        <v>0</v>
      </c>
      <c r="M188" s="262"/>
      <c r="N188" s="271">
        <f>Données!S188</f>
        <v>489081.94999999995</v>
      </c>
      <c r="O188" s="271">
        <f>Données!T188</f>
        <v>228831.69999999995</v>
      </c>
      <c r="P188" s="271">
        <f>Données!U188</f>
        <v>412939.30000000005</v>
      </c>
      <c r="Q188" s="246">
        <f>Données!V188</f>
        <v>235685.55</v>
      </c>
      <c r="R188" s="233">
        <f t="shared" si="21"/>
        <v>636132.14</v>
      </c>
      <c r="S188" s="250">
        <f t="shared" si="26"/>
        <v>-408680.97212007624</v>
      </c>
      <c r="T188" s="251">
        <f t="shared" si="24"/>
        <v>227451.16787992377</v>
      </c>
    </row>
    <row r="189" spans="1:20" x14ac:dyDescent="0.25">
      <c r="A189" s="108">
        <f>Données!A189</f>
        <v>5719</v>
      </c>
      <c r="B189" s="120" t="str">
        <f>Données!B189</f>
        <v>Gingins</v>
      </c>
      <c r="C189" s="249">
        <f>Données!C189</f>
        <v>1241</v>
      </c>
      <c r="D189" s="246">
        <f>RFS!W189</f>
        <v>11009520.969550718</v>
      </c>
      <c r="E189" s="262"/>
      <c r="F189" s="268">
        <f t="shared" si="18"/>
        <v>8871.4915145452997</v>
      </c>
      <c r="G189" s="262">
        <f t="shared" si="25"/>
        <v>5443.0995103914138</v>
      </c>
      <c r="H189" s="269">
        <f t="shared" si="19"/>
        <v>5403909.1939165965</v>
      </c>
      <c r="I189" s="241"/>
      <c r="J189" s="233">
        <f t="shared" si="22"/>
        <v>4517.0119062321683</v>
      </c>
      <c r="K189" s="262">
        <f t="shared" si="20"/>
        <v>0</v>
      </c>
      <c r="L189" s="269">
        <f t="shared" si="23"/>
        <v>0</v>
      </c>
      <c r="M189" s="262"/>
      <c r="N189" s="271">
        <f>Données!S189</f>
        <v>177068.85</v>
      </c>
      <c r="O189" s="271">
        <f>Données!T189</f>
        <v>128184.4</v>
      </c>
      <c r="P189" s="271">
        <f>Données!U189</f>
        <v>91877.7</v>
      </c>
      <c r="Q189" s="246">
        <f>Données!V189</f>
        <v>63888.9</v>
      </c>
      <c r="R189" s="233">
        <f t="shared" si="21"/>
        <v>217732.14500000002</v>
      </c>
      <c r="S189" s="250">
        <f t="shared" si="26"/>
        <v>-244892.84712748171</v>
      </c>
      <c r="T189" s="251">
        <f t="shared" si="24"/>
        <v>-27160.702127481694</v>
      </c>
    </row>
    <row r="190" spans="1:20" x14ac:dyDescent="0.25">
      <c r="A190" s="108">
        <f>Données!A190</f>
        <v>5720</v>
      </c>
      <c r="B190" s="120" t="str">
        <f>Données!B190</f>
        <v>Givrins</v>
      </c>
      <c r="C190" s="249">
        <f>Données!C190</f>
        <v>1096</v>
      </c>
      <c r="D190" s="246">
        <f>RFS!W190</f>
        <v>5144158.862814026</v>
      </c>
      <c r="E190" s="262"/>
      <c r="F190" s="268">
        <f t="shared" si="18"/>
        <v>4693.5756047573232</v>
      </c>
      <c r="G190" s="262">
        <f t="shared" si="25"/>
        <v>1265.1836006034378</v>
      </c>
      <c r="H190" s="269">
        <f t="shared" si="19"/>
        <v>1109312.9810090943</v>
      </c>
      <c r="I190" s="241"/>
      <c r="J190" s="233">
        <f t="shared" si="22"/>
        <v>3681.4287242745727</v>
      </c>
      <c r="K190" s="262">
        <f t="shared" si="20"/>
        <v>0</v>
      </c>
      <c r="L190" s="269">
        <f t="shared" si="23"/>
        <v>0</v>
      </c>
      <c r="M190" s="262"/>
      <c r="N190" s="271">
        <f>Données!S190</f>
        <v>155402.79999999999</v>
      </c>
      <c r="O190" s="271">
        <f>Données!T190</f>
        <v>0</v>
      </c>
      <c r="P190" s="271">
        <f>Données!U190</f>
        <v>178295.2</v>
      </c>
      <c r="Q190" s="246">
        <f>Données!V190</f>
        <v>31096.6</v>
      </c>
      <c r="R190" s="233">
        <f t="shared" si="21"/>
        <v>176177.98</v>
      </c>
      <c r="S190" s="250">
        <f t="shared" si="26"/>
        <v>-216279.25902636579</v>
      </c>
      <c r="T190" s="251">
        <f t="shared" si="24"/>
        <v>-40101.279026365781</v>
      </c>
    </row>
    <row r="191" spans="1:20" x14ac:dyDescent="0.25">
      <c r="A191" s="108">
        <f>Données!A191</f>
        <v>5721</v>
      </c>
      <c r="B191" s="120" t="str">
        <f>Données!B191</f>
        <v>Gland</v>
      </c>
      <c r="C191" s="249">
        <f>Données!C191</f>
        <v>13978</v>
      </c>
      <c r="D191" s="246">
        <f>RFS!W191</f>
        <v>54515353.957385376</v>
      </c>
      <c r="E191" s="262"/>
      <c r="F191" s="268">
        <f t="shared" si="18"/>
        <v>3900.0825552572169</v>
      </c>
      <c r="G191" s="262">
        <f t="shared" si="25"/>
        <v>471.69055110333147</v>
      </c>
      <c r="H191" s="269">
        <f t="shared" si="19"/>
        <v>5274632.4186578942</v>
      </c>
      <c r="I191" s="241"/>
      <c r="J191" s="233">
        <f t="shared" si="22"/>
        <v>3522.7301143745517</v>
      </c>
      <c r="K191" s="262">
        <f t="shared" si="20"/>
        <v>0</v>
      </c>
      <c r="L191" s="269">
        <f t="shared" si="23"/>
        <v>0</v>
      </c>
      <c r="M191" s="262"/>
      <c r="N191" s="271">
        <f>Données!S191</f>
        <v>2226198.9</v>
      </c>
      <c r="O191" s="271">
        <f>Données!T191</f>
        <v>378372.8</v>
      </c>
      <c r="P191" s="271">
        <f>Données!U191</f>
        <v>1341832.8999999999</v>
      </c>
      <c r="Q191" s="246">
        <f>Données!V191</f>
        <v>3255194</v>
      </c>
      <c r="R191" s="233">
        <f t="shared" si="21"/>
        <v>2949760.5</v>
      </c>
      <c r="S191" s="250">
        <f t="shared" si="26"/>
        <v>-2758349.8929475741</v>
      </c>
      <c r="T191" s="251">
        <f t="shared" si="24"/>
        <v>191410.60705242585</v>
      </c>
    </row>
    <row r="192" spans="1:20" x14ac:dyDescent="0.25">
      <c r="A192" s="108">
        <f>Données!A192</f>
        <v>5722</v>
      </c>
      <c r="B192" s="120" t="str">
        <f>Données!B192</f>
        <v>Grens</v>
      </c>
      <c r="C192" s="249">
        <f>Données!C192</f>
        <v>413</v>
      </c>
      <c r="D192" s="246">
        <f>RFS!W192</f>
        <v>1738923.356439261</v>
      </c>
      <c r="E192" s="262"/>
      <c r="F192" s="268">
        <f t="shared" si="18"/>
        <v>4210.4681753977266</v>
      </c>
      <c r="G192" s="262">
        <f t="shared" si="25"/>
        <v>782.07617124384115</v>
      </c>
      <c r="H192" s="269">
        <f t="shared" si="19"/>
        <v>258397.96697896512</v>
      </c>
      <c r="I192" s="241"/>
      <c r="J192" s="233">
        <f t="shared" si="22"/>
        <v>3584.8072384026536</v>
      </c>
      <c r="K192" s="262">
        <f t="shared" si="20"/>
        <v>0</v>
      </c>
      <c r="L192" s="269">
        <f t="shared" si="23"/>
        <v>0</v>
      </c>
      <c r="M192" s="262"/>
      <c r="N192" s="271">
        <f>Données!S192</f>
        <v>605305.9</v>
      </c>
      <c r="O192" s="271">
        <f>Données!T192</f>
        <v>2168.4</v>
      </c>
      <c r="P192" s="271">
        <f>Données!U192</f>
        <v>182160.95</v>
      </c>
      <c r="Q192" s="246">
        <f>Données!V192</f>
        <v>238605.3</v>
      </c>
      <c r="R192" s="233">
        <f t="shared" si="21"/>
        <v>466399.21499999997</v>
      </c>
      <c r="S192" s="250">
        <f t="shared" si="26"/>
        <v>-81499.392315592224</v>
      </c>
      <c r="T192" s="251">
        <f t="shared" si="24"/>
        <v>384899.82268440776</v>
      </c>
    </row>
    <row r="193" spans="1:20" x14ac:dyDescent="0.25">
      <c r="A193" s="108">
        <f>Données!A193</f>
        <v>5723</v>
      </c>
      <c r="B193" s="120" t="str">
        <f>Données!B193</f>
        <v>Mies</v>
      </c>
      <c r="C193" s="249">
        <f>Données!C193</f>
        <v>2194</v>
      </c>
      <c r="D193" s="246">
        <f>RFS!W193</f>
        <v>20135002.342926323</v>
      </c>
      <c r="E193" s="262"/>
      <c r="F193" s="268">
        <f t="shared" si="18"/>
        <v>9177.3027998752605</v>
      </c>
      <c r="G193" s="262">
        <f t="shared" si="25"/>
        <v>5748.9107957213746</v>
      </c>
      <c r="H193" s="269">
        <f t="shared" si="19"/>
        <v>10090488.228650158</v>
      </c>
      <c r="I193" s="241"/>
      <c r="J193" s="233">
        <f t="shared" si="22"/>
        <v>4578.1741632981611</v>
      </c>
      <c r="K193" s="262">
        <f t="shared" si="20"/>
        <v>0</v>
      </c>
      <c r="L193" s="269">
        <f t="shared" si="23"/>
        <v>0</v>
      </c>
      <c r="M193" s="262"/>
      <c r="N193" s="271">
        <f>Données!S193</f>
        <v>1228773.75</v>
      </c>
      <c r="O193" s="271">
        <f>Données!T193</f>
        <v>380120.8</v>
      </c>
      <c r="P193" s="271">
        <f>Données!U193</f>
        <v>359394</v>
      </c>
      <c r="Q193" s="246">
        <f>Données!V193</f>
        <v>239016.4</v>
      </c>
      <c r="R193" s="233">
        <f t="shared" si="21"/>
        <v>1055849.1950000001</v>
      </c>
      <c r="S193" s="250">
        <f t="shared" si="26"/>
        <v>-432953.18823343667</v>
      </c>
      <c r="T193" s="251">
        <f t="shared" si="24"/>
        <v>622896.0067665634</v>
      </c>
    </row>
    <row r="194" spans="1:20" x14ac:dyDescent="0.25">
      <c r="A194" s="108">
        <f>Données!A194</f>
        <v>5724</v>
      </c>
      <c r="B194" s="120" t="str">
        <f>Données!B194</f>
        <v>Nyon</v>
      </c>
      <c r="C194" s="249">
        <f>Données!C194</f>
        <v>23732</v>
      </c>
      <c r="D194" s="246">
        <f>RFS!W194</f>
        <v>118457995.2161718</v>
      </c>
      <c r="E194" s="262"/>
      <c r="F194" s="268">
        <f t="shared" si="18"/>
        <v>4991.4880842816365</v>
      </c>
      <c r="G194" s="262">
        <f t="shared" si="25"/>
        <v>1563.0960801277511</v>
      </c>
      <c r="H194" s="269">
        <f t="shared" si="19"/>
        <v>29676316.938873436</v>
      </c>
      <c r="I194" s="241"/>
      <c r="J194" s="233">
        <f t="shared" si="22"/>
        <v>3741.0112201794354</v>
      </c>
      <c r="K194" s="262">
        <f t="shared" si="20"/>
        <v>0</v>
      </c>
      <c r="L194" s="269">
        <f t="shared" si="23"/>
        <v>0</v>
      </c>
      <c r="M194" s="262"/>
      <c r="N194" s="271">
        <f>Données!S194</f>
        <v>3361788.3</v>
      </c>
      <c r="O194" s="271">
        <f>Données!T194</f>
        <v>4339292.2</v>
      </c>
      <c r="P194" s="271">
        <f>Données!U194</f>
        <v>2453056.4</v>
      </c>
      <c r="Q194" s="246">
        <f>Données!V194</f>
        <v>5903364.0999999996</v>
      </c>
      <c r="R194" s="233">
        <f t="shared" si="21"/>
        <v>6848077.6799999997</v>
      </c>
      <c r="S194" s="250">
        <f t="shared" si="26"/>
        <v>-4683156.364246089</v>
      </c>
      <c r="T194" s="251">
        <f t="shared" si="24"/>
        <v>2164921.3157539107</v>
      </c>
    </row>
    <row r="195" spans="1:20" x14ac:dyDescent="0.25">
      <c r="A195" s="108">
        <f>Données!A195</f>
        <v>5725</v>
      </c>
      <c r="B195" s="120" t="str">
        <f>Données!B195</f>
        <v>Prangins</v>
      </c>
      <c r="C195" s="249">
        <f>Données!C195</f>
        <v>4243</v>
      </c>
      <c r="D195" s="246">
        <f>RFS!W195</f>
        <v>24448382.568288758</v>
      </c>
      <c r="E195" s="262"/>
      <c r="F195" s="268">
        <f t="shared" si="18"/>
        <v>5762.0510413124575</v>
      </c>
      <c r="G195" s="262">
        <f t="shared" si="25"/>
        <v>2333.6590371585721</v>
      </c>
      <c r="H195" s="269">
        <f t="shared" si="19"/>
        <v>7921372.2357310578</v>
      </c>
      <c r="I195" s="241"/>
      <c r="J195" s="233">
        <f t="shared" si="22"/>
        <v>3895.1238115855999</v>
      </c>
      <c r="K195" s="262">
        <f t="shared" si="20"/>
        <v>0</v>
      </c>
      <c r="L195" s="269">
        <f t="shared" si="23"/>
        <v>0</v>
      </c>
      <c r="M195" s="262"/>
      <c r="N195" s="271">
        <f>Données!S195</f>
        <v>1517527.65</v>
      </c>
      <c r="O195" s="271">
        <f>Données!T195</f>
        <v>42597.3</v>
      </c>
      <c r="P195" s="271">
        <f>Données!U195</f>
        <v>828695.1</v>
      </c>
      <c r="Q195" s="246">
        <f>Données!V195</f>
        <v>1341152.95</v>
      </c>
      <c r="R195" s="233">
        <f t="shared" si="21"/>
        <v>1596755.91</v>
      </c>
      <c r="S195" s="250">
        <f t="shared" si="26"/>
        <v>-837292.78836575733</v>
      </c>
      <c r="T195" s="251">
        <f t="shared" si="24"/>
        <v>759463.12163424259</v>
      </c>
    </row>
    <row r="196" spans="1:20" x14ac:dyDescent="0.25">
      <c r="A196" s="108">
        <f>Données!A196</f>
        <v>5726</v>
      </c>
      <c r="B196" s="120" t="str">
        <f>Données!B196</f>
        <v>La Rippe</v>
      </c>
      <c r="C196" s="249">
        <f>Données!C196</f>
        <v>1218</v>
      </c>
      <c r="D196" s="246">
        <f>RFS!W196</f>
        <v>5135441.924377487</v>
      </c>
      <c r="E196" s="262"/>
      <c r="F196" s="268">
        <f t="shared" si="18"/>
        <v>4216.2905783066399</v>
      </c>
      <c r="G196" s="262">
        <f t="shared" si="25"/>
        <v>787.89857415275446</v>
      </c>
      <c r="H196" s="269">
        <f t="shared" si="19"/>
        <v>767728.37065444398</v>
      </c>
      <c r="I196" s="241"/>
      <c r="J196" s="233">
        <f t="shared" si="22"/>
        <v>3585.9717189844359</v>
      </c>
      <c r="K196" s="262">
        <f t="shared" si="20"/>
        <v>0</v>
      </c>
      <c r="L196" s="269">
        <f t="shared" si="23"/>
        <v>0</v>
      </c>
      <c r="M196" s="262"/>
      <c r="N196" s="271">
        <f>Données!S196</f>
        <v>132965.79999999999</v>
      </c>
      <c r="O196" s="271">
        <f>Données!T196</f>
        <v>0</v>
      </c>
      <c r="P196" s="271">
        <f>Données!U196</f>
        <v>211306.8</v>
      </c>
      <c r="Q196" s="246">
        <f>Données!V196</f>
        <v>34805.699999999997</v>
      </c>
      <c r="R196" s="233">
        <f t="shared" si="21"/>
        <v>182578.00999999998</v>
      </c>
      <c r="S196" s="250">
        <f t="shared" si="26"/>
        <v>-240354.14004937367</v>
      </c>
      <c r="T196" s="251">
        <f t="shared" si="24"/>
        <v>-57776.130049373693</v>
      </c>
    </row>
    <row r="197" spans="1:20" x14ac:dyDescent="0.25">
      <c r="A197" s="108">
        <f>Données!A197</f>
        <v>5727</v>
      </c>
      <c r="B197" s="120" t="str">
        <f>Données!B197</f>
        <v>Saint-Cergue</v>
      </c>
      <c r="C197" s="249">
        <f>Données!C197</f>
        <v>3057</v>
      </c>
      <c r="D197" s="246">
        <f>RFS!W197</f>
        <v>6672382.9583797315</v>
      </c>
      <c r="E197" s="262"/>
      <c r="F197" s="268">
        <f t="shared" ref="F197:F260" si="27">D197/C197</f>
        <v>2182.6571666273248</v>
      </c>
      <c r="G197" s="262">
        <f t="shared" si="25"/>
        <v>-1245.7348375265606</v>
      </c>
      <c r="H197" s="269">
        <f t="shared" ref="H197:H260" si="28">G197*$G$6*C197</f>
        <v>-3046569.1186549566</v>
      </c>
      <c r="I197" s="241"/>
      <c r="J197" s="233">
        <f t="shared" si="22"/>
        <v>3179.2450366485732</v>
      </c>
      <c r="K197" s="262">
        <f t="shared" ref="K197:K260" si="29">IF(J197&lt;$J$6,J197-($J$6),0)</f>
        <v>0</v>
      </c>
      <c r="L197" s="269">
        <f t="shared" si="23"/>
        <v>0</v>
      </c>
      <c r="M197" s="262"/>
      <c r="N197" s="271">
        <f>Données!S197</f>
        <v>369007.35</v>
      </c>
      <c r="O197" s="271">
        <f>Données!T197</f>
        <v>70023</v>
      </c>
      <c r="P197" s="271">
        <f>Données!U197</f>
        <v>329444.75</v>
      </c>
      <c r="Q197" s="246">
        <f>Données!V197</f>
        <v>281407.05</v>
      </c>
      <c r="R197" s="233">
        <f t="shared" ref="R197:R260" si="30">SUMPRODUCT($N$6:$Q$6,N197:Q197)</f>
        <v>468659.66499999998</v>
      </c>
      <c r="S197" s="250">
        <f t="shared" si="26"/>
        <v>-603253.37120766449</v>
      </c>
      <c r="T197" s="251">
        <f t="shared" si="24"/>
        <v>-134593.70620766451</v>
      </c>
    </row>
    <row r="198" spans="1:20" x14ac:dyDescent="0.25">
      <c r="A198" s="108">
        <f>Données!A198</f>
        <v>5728</v>
      </c>
      <c r="B198" s="120" t="str">
        <f>Données!B198</f>
        <v>Signy-Avenex</v>
      </c>
      <c r="C198" s="249">
        <f>Données!C198</f>
        <v>586</v>
      </c>
      <c r="D198" s="246">
        <f>RFS!W198</f>
        <v>3258394.9880891307</v>
      </c>
      <c r="E198" s="262"/>
      <c r="F198" s="268">
        <f t="shared" si="27"/>
        <v>5560.4010035650699</v>
      </c>
      <c r="G198" s="262">
        <f t="shared" si="25"/>
        <v>2132.0089994111845</v>
      </c>
      <c r="H198" s="269">
        <f t="shared" si="28"/>
        <v>999485.81892396335</v>
      </c>
      <c r="I198" s="241"/>
      <c r="J198" s="233">
        <f t="shared" ref="J198:J261" si="31">(D198-H198)/C198</f>
        <v>3854.7938040361219</v>
      </c>
      <c r="K198" s="262">
        <f t="shared" si="29"/>
        <v>0</v>
      </c>
      <c r="L198" s="269">
        <f t="shared" ref="L198:L261" si="32">ROUND(K198*C198,0)</f>
        <v>0</v>
      </c>
      <c r="M198" s="262"/>
      <c r="N198" s="271">
        <f>Données!S198</f>
        <v>103633</v>
      </c>
      <c r="O198" s="271">
        <f>Données!T198</f>
        <v>0</v>
      </c>
      <c r="P198" s="271">
        <f>Données!U198</f>
        <v>36721.050000000003</v>
      </c>
      <c r="Q198" s="246">
        <f>Données!V198</f>
        <v>282629.95</v>
      </c>
      <c r="R198" s="233">
        <f t="shared" si="30"/>
        <v>154966.01</v>
      </c>
      <c r="S198" s="250">
        <f t="shared" si="26"/>
        <v>-115638.3629465788</v>
      </c>
      <c r="T198" s="251">
        <f t="shared" ref="T198:T261" si="33">R198+S198</f>
        <v>39327.647053421213</v>
      </c>
    </row>
    <row r="199" spans="1:20" x14ac:dyDescent="0.25">
      <c r="A199" s="108">
        <f>Données!A199</f>
        <v>5729</v>
      </c>
      <c r="B199" s="120" t="str">
        <f>Données!B199</f>
        <v>Tannay</v>
      </c>
      <c r="C199" s="249">
        <f>Données!C199</f>
        <v>1732</v>
      </c>
      <c r="D199" s="246">
        <f>RFS!W199</f>
        <v>12418381.867964294</v>
      </c>
      <c r="E199" s="262"/>
      <c r="F199" s="268">
        <f t="shared" si="27"/>
        <v>7169.9664364689916</v>
      </c>
      <c r="G199" s="262">
        <f t="shared" si="25"/>
        <v>3741.5744323151062</v>
      </c>
      <c r="H199" s="269">
        <f t="shared" si="28"/>
        <v>5184325.5334158111</v>
      </c>
      <c r="I199" s="241"/>
      <c r="J199" s="233">
        <f t="shared" si="31"/>
        <v>4176.706890616907</v>
      </c>
      <c r="K199" s="262">
        <f t="shared" si="29"/>
        <v>0</v>
      </c>
      <c r="L199" s="269">
        <f t="shared" si="32"/>
        <v>0</v>
      </c>
      <c r="M199" s="262"/>
      <c r="N199" s="271">
        <f>Données!S199</f>
        <v>631094.05000000005</v>
      </c>
      <c r="O199" s="271">
        <f>Données!T199</f>
        <v>2904</v>
      </c>
      <c r="P199" s="271">
        <f>Données!U199</f>
        <v>507826.25</v>
      </c>
      <c r="Q199" s="246">
        <f>Données!V199</f>
        <v>25866</v>
      </c>
      <c r="R199" s="233">
        <f t="shared" si="30"/>
        <v>578671.95000000007</v>
      </c>
      <c r="S199" s="250">
        <f t="shared" si="26"/>
        <v>-341784.37649057078</v>
      </c>
      <c r="T199" s="251">
        <f t="shared" si="33"/>
        <v>236887.57350942929</v>
      </c>
    </row>
    <row r="200" spans="1:20" x14ac:dyDescent="0.25">
      <c r="A200" s="108">
        <f>Données!A200</f>
        <v>5730</v>
      </c>
      <c r="B200" s="120" t="str">
        <f>Données!B200</f>
        <v>Trélex</v>
      </c>
      <c r="C200" s="249">
        <f>Données!C200</f>
        <v>1427</v>
      </c>
      <c r="D200" s="246">
        <f>RFS!W200</f>
        <v>9716121.2469603699</v>
      </c>
      <c r="E200" s="262"/>
      <c r="F200" s="268">
        <f t="shared" si="27"/>
        <v>6808.774524849593</v>
      </c>
      <c r="G200" s="262">
        <f t="shared" ref="G200:G263" si="34">F200-$F$302</f>
        <v>3380.3825206957076</v>
      </c>
      <c r="H200" s="269">
        <f t="shared" si="28"/>
        <v>3859044.68562622</v>
      </c>
      <c r="I200" s="241"/>
      <c r="J200" s="233">
        <f t="shared" si="31"/>
        <v>4104.4685082930273</v>
      </c>
      <c r="K200" s="262">
        <f t="shared" si="29"/>
        <v>0</v>
      </c>
      <c r="L200" s="269">
        <f t="shared" si="32"/>
        <v>0</v>
      </c>
      <c r="M200" s="262"/>
      <c r="N200" s="271">
        <f>Données!S200</f>
        <v>232190.65</v>
      </c>
      <c r="O200" s="271">
        <f>Données!T200</f>
        <v>17062.599999999999</v>
      </c>
      <c r="P200" s="271">
        <f>Données!U200</f>
        <v>385512.25</v>
      </c>
      <c r="Q200" s="246">
        <f>Données!V200</f>
        <v>23219.7</v>
      </c>
      <c r="R200" s="233">
        <f t="shared" si="30"/>
        <v>324348.65999999997</v>
      </c>
      <c r="S200" s="250">
        <f t="shared" ref="S200:S263" si="35">-($R$302-$S$6)/$C$302*C200</f>
        <v>-281597.17393305106</v>
      </c>
      <c r="T200" s="251">
        <f t="shared" si="33"/>
        <v>42751.486066948914</v>
      </c>
    </row>
    <row r="201" spans="1:20" x14ac:dyDescent="0.25">
      <c r="A201" s="108">
        <f>Données!A201</f>
        <v>5731</v>
      </c>
      <c r="B201" s="120" t="str">
        <f>Données!B201</f>
        <v>Le Vaud</v>
      </c>
      <c r="C201" s="249">
        <f>Données!C201</f>
        <v>1374</v>
      </c>
      <c r="D201" s="246">
        <f>RFS!W201</f>
        <v>4569509.6192117352</v>
      </c>
      <c r="E201" s="262"/>
      <c r="F201" s="268">
        <f t="shared" si="27"/>
        <v>3325.6984128178569</v>
      </c>
      <c r="G201" s="262">
        <f t="shared" si="34"/>
        <v>-102.69359133602848</v>
      </c>
      <c r="H201" s="269">
        <f t="shared" si="28"/>
        <v>-112880.7955965625</v>
      </c>
      <c r="I201" s="241"/>
      <c r="J201" s="233">
        <f t="shared" si="31"/>
        <v>3407.8532858866793</v>
      </c>
      <c r="K201" s="262">
        <f t="shared" si="29"/>
        <v>0</v>
      </c>
      <c r="L201" s="269">
        <f t="shared" si="32"/>
        <v>0</v>
      </c>
      <c r="M201" s="262"/>
      <c r="N201" s="271">
        <f>Données!S201</f>
        <v>199953.05</v>
      </c>
      <c r="O201" s="271">
        <f>Données!T201</f>
        <v>0</v>
      </c>
      <c r="P201" s="271">
        <f>Données!U201</f>
        <v>239697.6</v>
      </c>
      <c r="Q201" s="246">
        <f>Données!V201</f>
        <v>32606.35</v>
      </c>
      <c r="R201" s="233">
        <f t="shared" si="30"/>
        <v>229607.23</v>
      </c>
      <c r="S201" s="250">
        <f t="shared" si="35"/>
        <v>-271138.41414436733</v>
      </c>
      <c r="T201" s="251">
        <f t="shared" si="33"/>
        <v>-41531.184144367318</v>
      </c>
    </row>
    <row r="202" spans="1:20" x14ac:dyDescent="0.25">
      <c r="A202" s="108">
        <f>Données!A202</f>
        <v>5732</v>
      </c>
      <c r="B202" s="120" t="str">
        <f>Données!B202</f>
        <v>Vich</v>
      </c>
      <c r="C202" s="249">
        <f>Données!C202</f>
        <v>1174</v>
      </c>
      <c r="D202" s="246">
        <f>RFS!W202</f>
        <v>6353197.0205055689</v>
      </c>
      <c r="E202" s="262"/>
      <c r="F202" s="268">
        <f t="shared" si="27"/>
        <v>5411.5817891870265</v>
      </c>
      <c r="G202" s="262">
        <f t="shared" si="34"/>
        <v>1983.1897850331411</v>
      </c>
      <c r="H202" s="269">
        <f t="shared" si="28"/>
        <v>1862611.8461031262</v>
      </c>
      <c r="I202" s="241"/>
      <c r="J202" s="233">
        <f t="shared" si="31"/>
        <v>3825.0299611605133</v>
      </c>
      <c r="K202" s="262">
        <f t="shared" si="29"/>
        <v>0</v>
      </c>
      <c r="L202" s="269">
        <f t="shared" si="32"/>
        <v>0</v>
      </c>
      <c r="M202" s="262"/>
      <c r="N202" s="271">
        <f>Données!S202</f>
        <v>185891.8</v>
      </c>
      <c r="O202" s="271">
        <f>Données!T202</f>
        <v>17199</v>
      </c>
      <c r="P202" s="271">
        <f>Données!U202</f>
        <v>156372.45000000001</v>
      </c>
      <c r="Q202" s="246">
        <f>Données!V202</f>
        <v>147525.4</v>
      </c>
      <c r="R202" s="233">
        <f t="shared" si="30"/>
        <v>223989.245</v>
      </c>
      <c r="S202" s="250">
        <f t="shared" si="35"/>
        <v>-231671.39607386262</v>
      </c>
      <c r="T202" s="251">
        <f t="shared" si="33"/>
        <v>-7682.1510738626239</v>
      </c>
    </row>
    <row r="203" spans="1:20" x14ac:dyDescent="0.25">
      <c r="A203" s="108">
        <f>Données!A203</f>
        <v>5741</v>
      </c>
      <c r="B203" s="120" t="str">
        <f>Données!B203</f>
        <v>L'Abergement</v>
      </c>
      <c r="C203" s="249">
        <f>Données!C203</f>
        <v>267</v>
      </c>
      <c r="D203" s="246">
        <f>RFS!W203</f>
        <v>592664.73530484177</v>
      </c>
      <c r="E203" s="262"/>
      <c r="F203" s="268">
        <f t="shared" si="27"/>
        <v>2219.7181097559619</v>
      </c>
      <c r="G203" s="262">
        <f t="shared" si="34"/>
        <v>-1208.6738943979235</v>
      </c>
      <c r="H203" s="269">
        <f t="shared" si="28"/>
        <v>-258172.74384339649</v>
      </c>
      <c r="I203" s="241"/>
      <c r="J203" s="233">
        <f t="shared" si="31"/>
        <v>3186.6572252743003</v>
      </c>
      <c r="K203" s="262">
        <f t="shared" si="29"/>
        <v>0</v>
      </c>
      <c r="L203" s="269">
        <f t="shared" si="32"/>
        <v>0</v>
      </c>
      <c r="M203" s="262"/>
      <c r="N203" s="271">
        <f>Données!S203</f>
        <v>26323.45</v>
      </c>
      <c r="O203" s="271">
        <f>Données!T203</f>
        <v>3.5</v>
      </c>
      <c r="P203" s="271">
        <f>Données!U203</f>
        <v>26935.5</v>
      </c>
      <c r="Q203" s="246">
        <f>Données!V203</f>
        <v>12588.45</v>
      </c>
      <c r="R203" s="233">
        <f t="shared" si="30"/>
        <v>30407.759999999998</v>
      </c>
      <c r="S203" s="250">
        <f t="shared" si="35"/>
        <v>-52688.469124123782</v>
      </c>
      <c r="T203" s="251">
        <f t="shared" si="33"/>
        <v>-22280.709124123783</v>
      </c>
    </row>
    <row r="204" spans="1:20" x14ac:dyDescent="0.25">
      <c r="A204" s="108">
        <f>Données!A204</f>
        <v>5742</v>
      </c>
      <c r="B204" s="120" t="str">
        <f>Données!B204</f>
        <v>Agiez</v>
      </c>
      <c r="C204" s="249">
        <f>Données!C204</f>
        <v>382</v>
      </c>
      <c r="D204" s="246">
        <f>RFS!W204</f>
        <v>782350.09711858956</v>
      </c>
      <c r="E204" s="262"/>
      <c r="F204" s="268">
        <f t="shared" si="27"/>
        <v>2048.0369034518053</v>
      </c>
      <c r="G204" s="262">
        <f t="shared" si="34"/>
        <v>-1380.3551007020801</v>
      </c>
      <c r="H204" s="269">
        <f t="shared" si="28"/>
        <v>-421836.51877455565</v>
      </c>
      <c r="I204" s="241"/>
      <c r="J204" s="233">
        <f t="shared" si="31"/>
        <v>3152.3209840134687</v>
      </c>
      <c r="K204" s="262">
        <f t="shared" si="29"/>
        <v>0</v>
      </c>
      <c r="L204" s="269">
        <f t="shared" si="32"/>
        <v>0</v>
      </c>
      <c r="M204" s="262"/>
      <c r="N204" s="271">
        <f>Données!S204</f>
        <v>7150</v>
      </c>
      <c r="O204" s="271">
        <f>Données!T204</f>
        <v>9638.7000000000007</v>
      </c>
      <c r="P204" s="271">
        <f>Données!U204</f>
        <v>42649.25</v>
      </c>
      <c r="Q204" s="246">
        <f>Données!V204</f>
        <v>1214.9000000000001</v>
      </c>
      <c r="R204" s="233">
        <f t="shared" si="30"/>
        <v>30083.445</v>
      </c>
      <c r="S204" s="250">
        <f t="shared" si="35"/>
        <v>-75382.00451466399</v>
      </c>
      <c r="T204" s="251">
        <f t="shared" si="33"/>
        <v>-45298.55951466399</v>
      </c>
    </row>
    <row r="205" spans="1:20" x14ac:dyDescent="0.25">
      <c r="A205" s="108">
        <f>Données!A205</f>
        <v>5743</v>
      </c>
      <c r="B205" s="120" t="str">
        <f>Données!B205</f>
        <v>Arnex-sur-Orbe</v>
      </c>
      <c r="C205" s="249">
        <f>Données!C205</f>
        <v>698</v>
      </c>
      <c r="D205" s="246">
        <f>RFS!W205</f>
        <v>1259650.0012752854</v>
      </c>
      <c r="E205" s="262"/>
      <c r="F205" s="268">
        <f t="shared" si="27"/>
        <v>1804.6561622855093</v>
      </c>
      <c r="G205" s="262">
        <f t="shared" si="34"/>
        <v>-1623.7358418683762</v>
      </c>
      <c r="H205" s="269">
        <f t="shared" si="28"/>
        <v>-906694.09409930138</v>
      </c>
      <c r="I205" s="241"/>
      <c r="J205" s="233">
        <f t="shared" si="31"/>
        <v>3103.6448357802105</v>
      </c>
      <c r="K205" s="262">
        <f t="shared" si="29"/>
        <v>0</v>
      </c>
      <c r="L205" s="269">
        <f t="shared" si="32"/>
        <v>0</v>
      </c>
      <c r="M205" s="262"/>
      <c r="N205" s="271">
        <f>Données!S205</f>
        <v>21399.55</v>
      </c>
      <c r="O205" s="271">
        <f>Données!T205</f>
        <v>0</v>
      </c>
      <c r="P205" s="271">
        <f>Données!U205</f>
        <v>13205.85</v>
      </c>
      <c r="Q205" s="246">
        <f>Données!V205</f>
        <v>27638.6</v>
      </c>
      <c r="R205" s="233">
        <f t="shared" si="30"/>
        <v>25594.28</v>
      </c>
      <c r="S205" s="250">
        <f t="shared" si="35"/>
        <v>-137739.89306606143</v>
      </c>
      <c r="T205" s="251">
        <f t="shared" si="33"/>
        <v>-112145.61306606143</v>
      </c>
    </row>
    <row r="206" spans="1:20" x14ac:dyDescent="0.25">
      <c r="A206" s="108">
        <f>Données!A206</f>
        <v>5744</v>
      </c>
      <c r="B206" s="120" t="str">
        <f>Données!B206</f>
        <v>Ballaigues</v>
      </c>
      <c r="C206" s="249">
        <f>Données!C206</f>
        <v>1217</v>
      </c>
      <c r="D206" s="246">
        <f>RFS!W206</f>
        <v>3709895.2449354702</v>
      </c>
      <c r="E206" s="262"/>
      <c r="F206" s="268">
        <f t="shared" si="27"/>
        <v>3048.3937920587264</v>
      </c>
      <c r="G206" s="262">
        <f t="shared" si="34"/>
        <v>-379.99821209515903</v>
      </c>
      <c r="H206" s="269">
        <f t="shared" si="28"/>
        <v>-369966.25929584686</v>
      </c>
      <c r="I206" s="241"/>
      <c r="J206" s="233">
        <f t="shared" si="31"/>
        <v>3352.3923617348537</v>
      </c>
      <c r="K206" s="262">
        <f t="shared" si="29"/>
        <v>0</v>
      </c>
      <c r="L206" s="269">
        <f t="shared" si="32"/>
        <v>0</v>
      </c>
      <c r="M206" s="262"/>
      <c r="N206" s="271">
        <f>Données!S206</f>
        <v>95391.35</v>
      </c>
      <c r="O206" s="271">
        <f>Données!T206</f>
        <v>0</v>
      </c>
      <c r="P206" s="271">
        <f>Données!U206</f>
        <v>53171</v>
      </c>
      <c r="Q206" s="246">
        <f>Données!V206</f>
        <v>1033265.45</v>
      </c>
      <c r="R206" s="233">
        <f t="shared" si="30"/>
        <v>384260.80999999994</v>
      </c>
      <c r="S206" s="250">
        <f t="shared" si="35"/>
        <v>-240156.80495902113</v>
      </c>
      <c r="T206" s="251">
        <f t="shared" si="33"/>
        <v>144104.00504097881</v>
      </c>
    </row>
    <row r="207" spans="1:20" x14ac:dyDescent="0.25">
      <c r="A207" s="108">
        <f>Données!A207</f>
        <v>5745</v>
      </c>
      <c r="B207" s="120" t="str">
        <f>Données!B207</f>
        <v>Baulmes</v>
      </c>
      <c r="C207" s="249">
        <f>Données!C207</f>
        <v>1189</v>
      </c>
      <c r="D207" s="246">
        <f>RFS!W207</f>
        <v>2065873.888799564</v>
      </c>
      <c r="E207" s="262"/>
      <c r="F207" s="268">
        <f t="shared" si="27"/>
        <v>1737.4885523966054</v>
      </c>
      <c r="G207" s="262">
        <f t="shared" si="34"/>
        <v>-1690.90345175728</v>
      </c>
      <c r="H207" s="269">
        <f t="shared" si="28"/>
        <v>-1608387.3633115247</v>
      </c>
      <c r="I207" s="241"/>
      <c r="J207" s="233">
        <f t="shared" si="31"/>
        <v>3090.2113138024292</v>
      </c>
      <c r="K207" s="262">
        <f t="shared" si="29"/>
        <v>0</v>
      </c>
      <c r="L207" s="269">
        <f t="shared" si="32"/>
        <v>0</v>
      </c>
      <c r="M207" s="262"/>
      <c r="N207" s="271">
        <f>Données!S207</f>
        <v>48196.6</v>
      </c>
      <c r="O207" s="271">
        <f>Données!T207</f>
        <v>0</v>
      </c>
      <c r="P207" s="271">
        <f>Données!U207</f>
        <v>48493.2</v>
      </c>
      <c r="Q207" s="246">
        <f>Données!V207</f>
        <v>245278.85</v>
      </c>
      <c r="R207" s="233">
        <f t="shared" si="30"/>
        <v>121928.55499999999</v>
      </c>
      <c r="S207" s="250">
        <f t="shared" si="35"/>
        <v>-234631.42242915049</v>
      </c>
      <c r="T207" s="251">
        <f t="shared" si="33"/>
        <v>-112702.8674291505</v>
      </c>
    </row>
    <row r="208" spans="1:20" x14ac:dyDescent="0.25">
      <c r="A208" s="108">
        <f>Données!A208</f>
        <v>5746</v>
      </c>
      <c r="B208" s="120" t="str">
        <f>Données!B208</f>
        <v>Bavois</v>
      </c>
      <c r="C208" s="249">
        <f>Données!C208</f>
        <v>1055</v>
      </c>
      <c r="D208" s="246">
        <f>RFS!W208</f>
        <v>2523635.9809728907</v>
      </c>
      <c r="E208" s="262"/>
      <c r="F208" s="268">
        <f t="shared" si="27"/>
        <v>2392.0720198795175</v>
      </c>
      <c r="G208" s="262">
        <f t="shared" si="34"/>
        <v>-1036.3199842743679</v>
      </c>
      <c r="H208" s="269">
        <f t="shared" si="28"/>
        <v>-874654.06672756653</v>
      </c>
      <c r="I208" s="241"/>
      <c r="J208" s="233">
        <f t="shared" si="31"/>
        <v>3221.1280072990116</v>
      </c>
      <c r="K208" s="262">
        <f t="shared" si="29"/>
        <v>0</v>
      </c>
      <c r="L208" s="269">
        <f t="shared" si="32"/>
        <v>0</v>
      </c>
      <c r="M208" s="262"/>
      <c r="N208" s="271">
        <f>Données!S208</f>
        <v>186052.05</v>
      </c>
      <c r="O208" s="271">
        <f>Données!T208</f>
        <v>35566.300000000003</v>
      </c>
      <c r="P208" s="271">
        <f>Données!U208</f>
        <v>89012.7</v>
      </c>
      <c r="Q208" s="246">
        <f>Données!V208</f>
        <v>23221.9</v>
      </c>
      <c r="R208" s="233">
        <f t="shared" si="30"/>
        <v>162282.095</v>
      </c>
      <c r="S208" s="250">
        <f t="shared" si="35"/>
        <v>-208188.52032191234</v>
      </c>
      <c r="T208" s="251">
        <f t="shared" si="33"/>
        <v>-45906.425321912335</v>
      </c>
    </row>
    <row r="209" spans="1:20" x14ac:dyDescent="0.25">
      <c r="A209" s="108">
        <f>Données!A209</f>
        <v>5747</v>
      </c>
      <c r="B209" s="120" t="str">
        <f>Données!B209</f>
        <v>Bofflens</v>
      </c>
      <c r="C209" s="249">
        <f>Données!C209</f>
        <v>201</v>
      </c>
      <c r="D209" s="246">
        <f>RFS!W209</f>
        <v>458873.67850812513</v>
      </c>
      <c r="E209" s="262"/>
      <c r="F209" s="268">
        <f t="shared" si="27"/>
        <v>2282.9536244185329</v>
      </c>
      <c r="G209" s="262">
        <f t="shared" si="34"/>
        <v>-1145.4383797353526</v>
      </c>
      <c r="H209" s="269">
        <f t="shared" si="28"/>
        <v>-184186.4914614447</v>
      </c>
      <c r="I209" s="241"/>
      <c r="J209" s="233">
        <f t="shared" si="31"/>
        <v>3199.3043282068152</v>
      </c>
      <c r="K209" s="262">
        <f t="shared" si="29"/>
        <v>0</v>
      </c>
      <c r="L209" s="269">
        <f t="shared" si="32"/>
        <v>0</v>
      </c>
      <c r="M209" s="262"/>
      <c r="N209" s="271">
        <f>Données!S209</f>
        <v>0</v>
      </c>
      <c r="O209" s="271">
        <f>Données!T209</f>
        <v>213725.1</v>
      </c>
      <c r="P209" s="271">
        <f>Données!U209</f>
        <v>-2266.15</v>
      </c>
      <c r="Q209" s="246">
        <f>Données!V209</f>
        <v>1328.9</v>
      </c>
      <c r="R209" s="233">
        <f t="shared" si="30"/>
        <v>106128.145</v>
      </c>
      <c r="S209" s="250">
        <f t="shared" si="35"/>
        <v>-39664.35316085723</v>
      </c>
      <c r="T209" s="251">
        <f t="shared" si="33"/>
        <v>66463.791839142767</v>
      </c>
    </row>
    <row r="210" spans="1:20" x14ac:dyDescent="0.25">
      <c r="A210" s="108">
        <f>Données!A210</f>
        <v>5748</v>
      </c>
      <c r="B210" s="120" t="str">
        <f>Données!B210</f>
        <v>Bretonnières</v>
      </c>
      <c r="C210" s="249">
        <f>Données!C210</f>
        <v>265</v>
      </c>
      <c r="D210" s="246">
        <f>RFS!W210</f>
        <v>439782.02882951219</v>
      </c>
      <c r="E210" s="262"/>
      <c r="F210" s="268">
        <f t="shared" si="27"/>
        <v>1659.5548257717442</v>
      </c>
      <c r="G210" s="262">
        <f t="shared" si="34"/>
        <v>-1768.8371783821412</v>
      </c>
      <c r="H210" s="269">
        <f t="shared" si="28"/>
        <v>-374993.48181701393</v>
      </c>
      <c r="I210" s="241"/>
      <c r="J210" s="233">
        <f t="shared" si="31"/>
        <v>3074.6245684774572</v>
      </c>
      <c r="K210" s="262">
        <f t="shared" si="29"/>
        <v>-10.928235261039845</v>
      </c>
      <c r="L210" s="269">
        <f t="shared" si="32"/>
        <v>-2896</v>
      </c>
      <c r="M210" s="262"/>
      <c r="N210" s="271">
        <f>Données!S210</f>
        <v>54136.3</v>
      </c>
      <c r="O210" s="271">
        <f>Données!T210</f>
        <v>0</v>
      </c>
      <c r="P210" s="271">
        <f>Données!U210</f>
        <v>28645.5</v>
      </c>
      <c r="Q210" s="246">
        <f>Données!V210</f>
        <v>11898.7</v>
      </c>
      <c r="R210" s="233">
        <f t="shared" si="30"/>
        <v>44960.51</v>
      </c>
      <c r="S210" s="250">
        <f t="shared" si="35"/>
        <v>-52293.79894341874</v>
      </c>
      <c r="T210" s="251">
        <f t="shared" si="33"/>
        <v>-7333.2889434187382</v>
      </c>
    </row>
    <row r="211" spans="1:20" x14ac:dyDescent="0.25">
      <c r="A211" s="108">
        <f>Données!A211</f>
        <v>5749</v>
      </c>
      <c r="B211" s="120" t="str">
        <f>Données!B211</f>
        <v>Chavornay</v>
      </c>
      <c r="C211" s="249">
        <f>Données!C211</f>
        <v>5374</v>
      </c>
      <c r="D211" s="246">
        <f>RFS!W211</f>
        <v>10931948.003463509</v>
      </c>
      <c r="E211" s="262"/>
      <c r="F211" s="268">
        <f t="shared" si="27"/>
        <v>2034.2292525983455</v>
      </c>
      <c r="G211" s="262">
        <f t="shared" si="34"/>
        <v>-1394.1627515555399</v>
      </c>
      <c r="H211" s="269">
        <f t="shared" si="28"/>
        <v>-5993784.5014875773</v>
      </c>
      <c r="I211" s="241"/>
      <c r="J211" s="233">
        <f t="shared" si="31"/>
        <v>3149.5594538427772</v>
      </c>
      <c r="K211" s="262">
        <f t="shared" si="29"/>
        <v>0</v>
      </c>
      <c r="L211" s="269">
        <f t="shared" si="32"/>
        <v>0</v>
      </c>
      <c r="M211" s="262"/>
      <c r="N211" s="271">
        <f>Données!S211</f>
        <v>560211.19999999995</v>
      </c>
      <c r="O211" s="271">
        <f>Données!T211</f>
        <v>36401.599999999999</v>
      </c>
      <c r="P211" s="271">
        <f>Données!U211</f>
        <v>453501.5</v>
      </c>
      <c r="Q211" s="246">
        <f>Données!V211</f>
        <v>863932.8</v>
      </c>
      <c r="R211" s="233">
        <f t="shared" si="30"/>
        <v>784236.98999999987</v>
      </c>
      <c r="S211" s="250">
        <f t="shared" si="35"/>
        <v>-1060478.7755544614</v>
      </c>
      <c r="T211" s="251">
        <f t="shared" si="33"/>
        <v>-276241.78555446153</v>
      </c>
    </row>
    <row r="212" spans="1:20" x14ac:dyDescent="0.25">
      <c r="A212" s="108">
        <f>Données!A212</f>
        <v>5750</v>
      </c>
      <c r="B212" s="120" t="str">
        <f>Données!B212</f>
        <v>Les Clées</v>
      </c>
      <c r="C212" s="249">
        <f>Données!C212</f>
        <v>195</v>
      </c>
      <c r="D212" s="246">
        <f>RFS!W212</f>
        <v>435760.17695883231</v>
      </c>
      <c r="E212" s="262"/>
      <c r="F212" s="268">
        <f t="shared" si="27"/>
        <v>2234.667574147858</v>
      </c>
      <c r="G212" s="262">
        <f t="shared" si="34"/>
        <v>-1193.7244300060274</v>
      </c>
      <c r="H212" s="269">
        <f t="shared" si="28"/>
        <v>-186221.01108094028</v>
      </c>
      <c r="I212" s="241"/>
      <c r="J212" s="233">
        <f t="shared" si="31"/>
        <v>3189.6471181526799</v>
      </c>
      <c r="K212" s="262">
        <f t="shared" si="29"/>
        <v>0</v>
      </c>
      <c r="L212" s="269">
        <f t="shared" si="32"/>
        <v>0</v>
      </c>
      <c r="M212" s="262"/>
      <c r="N212" s="271">
        <f>Données!S212</f>
        <v>6638.55</v>
      </c>
      <c r="O212" s="271">
        <f>Données!T212</f>
        <v>0</v>
      </c>
      <c r="P212" s="271">
        <f>Données!U212</f>
        <v>8244.9</v>
      </c>
      <c r="Q212" s="246">
        <f>Données!V212</f>
        <v>6434.15</v>
      </c>
      <c r="R212" s="233">
        <f t="shared" si="30"/>
        <v>9371.9700000000012</v>
      </c>
      <c r="S212" s="250">
        <f t="shared" si="35"/>
        <v>-38480.342618742092</v>
      </c>
      <c r="T212" s="251">
        <f t="shared" si="33"/>
        <v>-29108.372618742091</v>
      </c>
    </row>
    <row r="213" spans="1:20" x14ac:dyDescent="0.25">
      <c r="A213" s="108">
        <f>Données!A213</f>
        <v>5752</v>
      </c>
      <c r="B213" s="120" t="str">
        <f>Données!B213</f>
        <v>Croy</v>
      </c>
      <c r="C213" s="249">
        <f>Données!C213</f>
        <v>408</v>
      </c>
      <c r="D213" s="246">
        <f>RFS!W213</f>
        <v>873495.64452833671</v>
      </c>
      <c r="E213" s="262"/>
      <c r="F213" s="268">
        <f t="shared" si="27"/>
        <v>2140.9206973733744</v>
      </c>
      <c r="G213" s="262">
        <f t="shared" si="34"/>
        <v>-1287.471306780511</v>
      </c>
      <c r="H213" s="269">
        <f t="shared" si="28"/>
        <v>-420230.63453315879</v>
      </c>
      <c r="I213" s="241"/>
      <c r="J213" s="233">
        <f t="shared" si="31"/>
        <v>3170.8977427977834</v>
      </c>
      <c r="K213" s="262">
        <f t="shared" si="29"/>
        <v>0</v>
      </c>
      <c r="L213" s="269">
        <f t="shared" si="32"/>
        <v>0</v>
      </c>
      <c r="M213" s="262"/>
      <c r="N213" s="271">
        <f>Données!S213</f>
        <v>15586.9</v>
      </c>
      <c r="O213" s="271">
        <f>Données!T213</f>
        <v>0</v>
      </c>
      <c r="P213" s="271">
        <f>Données!U213</f>
        <v>16623.7</v>
      </c>
      <c r="Q213" s="246">
        <f>Données!V213</f>
        <v>57352.6</v>
      </c>
      <c r="R213" s="233">
        <f t="shared" si="30"/>
        <v>33311.08</v>
      </c>
      <c r="S213" s="250">
        <f t="shared" si="35"/>
        <v>-80512.716863829599</v>
      </c>
      <c r="T213" s="251">
        <f t="shared" si="33"/>
        <v>-47201.636863829597</v>
      </c>
    </row>
    <row r="214" spans="1:20" x14ac:dyDescent="0.25">
      <c r="A214" s="108">
        <f>Données!A214</f>
        <v>5754</v>
      </c>
      <c r="B214" s="120" t="str">
        <f>Données!B214</f>
        <v>Juriens</v>
      </c>
      <c r="C214" s="249">
        <f>Données!C214</f>
        <v>345</v>
      </c>
      <c r="D214" s="246">
        <f>RFS!W214</f>
        <v>623900.3998245399</v>
      </c>
      <c r="E214" s="262"/>
      <c r="F214" s="268">
        <f t="shared" si="27"/>
        <v>1808.4069560131591</v>
      </c>
      <c r="G214" s="262">
        <f t="shared" si="34"/>
        <v>-1619.9850481407263</v>
      </c>
      <c r="H214" s="269">
        <f t="shared" si="28"/>
        <v>-447115.87328684051</v>
      </c>
      <c r="I214" s="241"/>
      <c r="J214" s="233">
        <f t="shared" si="31"/>
        <v>3104.3949945257405</v>
      </c>
      <c r="K214" s="262">
        <f t="shared" si="29"/>
        <v>0</v>
      </c>
      <c r="L214" s="269">
        <f t="shared" si="32"/>
        <v>0</v>
      </c>
      <c r="M214" s="262"/>
      <c r="N214" s="271">
        <f>Données!S214</f>
        <v>33011</v>
      </c>
      <c r="O214" s="271">
        <f>Données!T214</f>
        <v>19.2</v>
      </c>
      <c r="P214" s="271">
        <f>Données!U214</f>
        <v>22654.35</v>
      </c>
      <c r="Q214" s="246">
        <f>Données!V214</f>
        <v>10878.25</v>
      </c>
      <c r="R214" s="233">
        <f t="shared" si="30"/>
        <v>31105.749999999996</v>
      </c>
      <c r="S214" s="250">
        <f t="shared" si="35"/>
        <v>-68080.606171620617</v>
      </c>
      <c r="T214" s="251">
        <f t="shared" si="33"/>
        <v>-36974.856171620617</v>
      </c>
    </row>
    <row r="215" spans="1:20" x14ac:dyDescent="0.25">
      <c r="A215" s="108">
        <f>Données!A215</f>
        <v>5755</v>
      </c>
      <c r="B215" s="120" t="str">
        <f>Données!B215</f>
        <v>Lignerolle</v>
      </c>
      <c r="C215" s="249">
        <f>Données!C215</f>
        <v>452</v>
      </c>
      <c r="D215" s="246">
        <f>RFS!W215</f>
        <v>710365.89959041623</v>
      </c>
      <c r="E215" s="262"/>
      <c r="F215" s="268">
        <f t="shared" si="27"/>
        <v>1571.6059725451687</v>
      </c>
      <c r="G215" s="262">
        <f t="shared" si="34"/>
        <v>-1856.7860316087167</v>
      </c>
      <c r="H215" s="269">
        <f t="shared" si="28"/>
        <v>-671413.82902971201</v>
      </c>
      <c r="I215" s="241"/>
      <c r="J215" s="233">
        <f t="shared" si="31"/>
        <v>3057.034797832142</v>
      </c>
      <c r="K215" s="262">
        <f t="shared" si="29"/>
        <v>-28.518005906355029</v>
      </c>
      <c r="L215" s="269">
        <f t="shared" si="32"/>
        <v>-12890</v>
      </c>
      <c r="M215" s="262"/>
      <c r="N215" s="271">
        <f>Données!S215</f>
        <v>61365.55</v>
      </c>
      <c r="O215" s="271">
        <f>Données!T215</f>
        <v>6314</v>
      </c>
      <c r="P215" s="271">
        <f>Données!U215</f>
        <v>78673.75</v>
      </c>
      <c r="Q215" s="246">
        <f>Données!V215</f>
        <v>22999.7</v>
      </c>
      <c r="R215" s="233">
        <f t="shared" si="30"/>
        <v>80076.56</v>
      </c>
      <c r="S215" s="250">
        <f t="shared" si="35"/>
        <v>-89195.460839340638</v>
      </c>
      <c r="T215" s="251">
        <f t="shared" si="33"/>
        <v>-9118.9008393406402</v>
      </c>
    </row>
    <row r="216" spans="1:20" x14ac:dyDescent="0.25">
      <c r="A216" s="108">
        <f>Données!A216</f>
        <v>5756</v>
      </c>
      <c r="B216" s="120" t="str">
        <f>Données!B216</f>
        <v>Montcherand</v>
      </c>
      <c r="C216" s="249">
        <f>Données!C216</f>
        <v>494</v>
      </c>
      <c r="D216" s="246">
        <f>RFS!W216</f>
        <v>1406943.6949713419</v>
      </c>
      <c r="E216" s="262"/>
      <c r="F216" s="268">
        <f t="shared" si="27"/>
        <v>2848.0641598610159</v>
      </c>
      <c r="G216" s="262">
        <f t="shared" si="34"/>
        <v>-580.32784429286949</v>
      </c>
      <c r="H216" s="269">
        <f t="shared" si="28"/>
        <v>-229345.56406454201</v>
      </c>
      <c r="I216" s="241"/>
      <c r="J216" s="233">
        <f t="shared" si="31"/>
        <v>3312.3264352953115</v>
      </c>
      <c r="K216" s="262">
        <f t="shared" si="29"/>
        <v>0</v>
      </c>
      <c r="L216" s="269">
        <f t="shared" si="32"/>
        <v>0</v>
      </c>
      <c r="M216" s="262"/>
      <c r="N216" s="271">
        <f>Données!S216</f>
        <v>11753.35</v>
      </c>
      <c r="O216" s="271">
        <f>Données!T216</f>
        <v>0</v>
      </c>
      <c r="P216" s="271">
        <f>Données!U216</f>
        <v>20516.099999999999</v>
      </c>
      <c r="Q216" s="246">
        <f>Données!V216</f>
        <v>2847.55</v>
      </c>
      <c r="R216" s="233">
        <f t="shared" si="30"/>
        <v>16988.989999999998</v>
      </c>
      <c r="S216" s="250">
        <f t="shared" si="35"/>
        <v>-97483.534634146621</v>
      </c>
      <c r="T216" s="251">
        <f t="shared" si="33"/>
        <v>-80494.544634146616</v>
      </c>
    </row>
    <row r="217" spans="1:20" x14ac:dyDescent="0.25">
      <c r="A217" s="108">
        <f>Données!A217</f>
        <v>5757</v>
      </c>
      <c r="B217" s="120" t="str">
        <f>Données!B217</f>
        <v>Orbe</v>
      </c>
      <c r="C217" s="249">
        <f>Données!C217</f>
        <v>8008</v>
      </c>
      <c r="D217" s="246">
        <f>RFS!W217</f>
        <v>16527030.011847842</v>
      </c>
      <c r="E217" s="262"/>
      <c r="F217" s="268">
        <f t="shared" si="27"/>
        <v>2063.814936544436</v>
      </c>
      <c r="G217" s="262">
        <f t="shared" si="34"/>
        <v>-1364.5770676094494</v>
      </c>
      <c r="H217" s="269">
        <f t="shared" si="28"/>
        <v>-8742026.5259331763</v>
      </c>
      <c r="I217" s="241"/>
      <c r="J217" s="233">
        <f t="shared" si="31"/>
        <v>3155.4765906319954</v>
      </c>
      <c r="K217" s="262">
        <f t="shared" si="29"/>
        <v>0</v>
      </c>
      <c r="L217" s="269">
        <f t="shared" si="32"/>
        <v>0</v>
      </c>
      <c r="M217" s="262"/>
      <c r="N217" s="271">
        <f>Données!S217</f>
        <v>683056.85</v>
      </c>
      <c r="O217" s="271">
        <f>Données!T217</f>
        <v>27288.3</v>
      </c>
      <c r="P217" s="271">
        <f>Données!U217</f>
        <v>191974.2</v>
      </c>
      <c r="Q217" s="246">
        <f>Données!V217</f>
        <v>3697129.85</v>
      </c>
      <c r="R217" s="233">
        <f t="shared" si="30"/>
        <v>1560298.6300000001</v>
      </c>
      <c r="S217" s="250">
        <f t="shared" si="35"/>
        <v>-1580259.4035430085</v>
      </c>
      <c r="T217" s="251">
        <f t="shared" si="33"/>
        <v>-19960.77354300837</v>
      </c>
    </row>
    <row r="218" spans="1:20" x14ac:dyDescent="0.25">
      <c r="A218" s="108">
        <f>Données!A218</f>
        <v>5758</v>
      </c>
      <c r="B218" s="120" t="str">
        <f>Données!B218</f>
        <v>La Praz</v>
      </c>
      <c r="C218" s="249">
        <f>Données!C218</f>
        <v>214</v>
      </c>
      <c r="D218" s="246">
        <f>RFS!W218</f>
        <v>375062.21768203989</v>
      </c>
      <c r="E218" s="262"/>
      <c r="F218" s="268">
        <f t="shared" si="27"/>
        <v>1752.627185430093</v>
      </c>
      <c r="G218" s="262">
        <f t="shared" si="34"/>
        <v>-1675.7648187237924</v>
      </c>
      <c r="H218" s="269">
        <f t="shared" si="28"/>
        <v>-286890.93696551328</v>
      </c>
      <c r="I218" s="241"/>
      <c r="J218" s="233">
        <f t="shared" si="31"/>
        <v>3093.2390404091266</v>
      </c>
      <c r="K218" s="262">
        <f t="shared" si="29"/>
        <v>0</v>
      </c>
      <c r="L218" s="269">
        <f t="shared" si="32"/>
        <v>0</v>
      </c>
      <c r="M218" s="262"/>
      <c r="N218" s="271">
        <f>Données!S218</f>
        <v>11100.3</v>
      </c>
      <c r="O218" s="271">
        <f>Données!T218</f>
        <v>0</v>
      </c>
      <c r="P218" s="271">
        <f>Données!U218</f>
        <v>26110.3</v>
      </c>
      <c r="Q218" s="246">
        <f>Données!V218</f>
        <v>0</v>
      </c>
      <c r="R218" s="233">
        <f t="shared" si="30"/>
        <v>18605.3</v>
      </c>
      <c r="S218" s="250">
        <f t="shared" si="35"/>
        <v>-42229.709335440035</v>
      </c>
      <c r="T218" s="251">
        <f t="shared" si="33"/>
        <v>-23624.409335440036</v>
      </c>
    </row>
    <row r="219" spans="1:20" x14ac:dyDescent="0.25">
      <c r="A219" s="108">
        <f>Données!A219</f>
        <v>5759</v>
      </c>
      <c r="B219" s="120" t="str">
        <f>Données!B219</f>
        <v>Premier</v>
      </c>
      <c r="C219" s="249">
        <f>Données!C219</f>
        <v>233</v>
      </c>
      <c r="D219" s="246">
        <f>RFS!W219</f>
        <v>359054.10040637542</v>
      </c>
      <c r="E219" s="262"/>
      <c r="F219" s="268">
        <f t="shared" si="27"/>
        <v>1541.0047227741434</v>
      </c>
      <c r="G219" s="262">
        <f t="shared" si="34"/>
        <v>-1887.387281379742</v>
      </c>
      <c r="H219" s="269">
        <f t="shared" si="28"/>
        <v>-351808.98924918397</v>
      </c>
      <c r="I219" s="241"/>
      <c r="J219" s="233">
        <f t="shared" si="31"/>
        <v>3050.9145478779374</v>
      </c>
      <c r="K219" s="262">
        <f t="shared" si="29"/>
        <v>-34.638255860559639</v>
      </c>
      <c r="L219" s="269">
        <f t="shared" si="32"/>
        <v>-8071</v>
      </c>
      <c r="M219" s="262"/>
      <c r="N219" s="271">
        <f>Données!S219</f>
        <v>13453</v>
      </c>
      <c r="O219" s="271">
        <f>Données!T219</f>
        <v>0</v>
      </c>
      <c r="P219" s="271">
        <f>Données!U219</f>
        <v>11585.95</v>
      </c>
      <c r="Q219" s="246">
        <f>Données!V219</f>
        <v>2522.35</v>
      </c>
      <c r="R219" s="233">
        <f t="shared" si="30"/>
        <v>13276.18</v>
      </c>
      <c r="S219" s="250">
        <f t="shared" si="35"/>
        <v>-45979.076052137985</v>
      </c>
      <c r="T219" s="251">
        <f t="shared" si="33"/>
        <v>-32702.896052137985</v>
      </c>
    </row>
    <row r="220" spans="1:20" x14ac:dyDescent="0.25">
      <c r="A220" s="108">
        <f>Données!A220</f>
        <v>5760</v>
      </c>
      <c r="B220" s="120" t="str">
        <f>Données!B220</f>
        <v>Rances</v>
      </c>
      <c r="C220" s="249">
        <f>Données!C220</f>
        <v>513</v>
      </c>
      <c r="D220" s="246">
        <f>RFS!W220</f>
        <v>772363.57319383149</v>
      </c>
      <c r="E220" s="262"/>
      <c r="F220" s="268">
        <f t="shared" si="27"/>
        <v>1505.5820140230633</v>
      </c>
      <c r="G220" s="262">
        <f t="shared" si="34"/>
        <v>-1922.8099901308221</v>
      </c>
      <c r="H220" s="269">
        <f t="shared" si="28"/>
        <v>-789121.21994968946</v>
      </c>
      <c r="I220" s="241"/>
      <c r="J220" s="233">
        <f t="shared" si="31"/>
        <v>3043.8300061277214</v>
      </c>
      <c r="K220" s="262">
        <f t="shared" si="29"/>
        <v>-41.722797610775615</v>
      </c>
      <c r="L220" s="269">
        <f t="shared" si="32"/>
        <v>-21404</v>
      </c>
      <c r="M220" s="262"/>
      <c r="N220" s="271">
        <f>Données!S220</f>
        <v>10246.6</v>
      </c>
      <c r="O220" s="271">
        <f>Données!T220</f>
        <v>3412.8</v>
      </c>
      <c r="P220" s="271">
        <f>Données!U220</f>
        <v>6389.35</v>
      </c>
      <c r="Q220" s="246">
        <f>Données!V220</f>
        <v>30982.5</v>
      </c>
      <c r="R220" s="233">
        <f t="shared" si="30"/>
        <v>19319.125</v>
      </c>
      <c r="S220" s="250">
        <f t="shared" si="35"/>
        <v>-101232.90135084458</v>
      </c>
      <c r="T220" s="251">
        <f t="shared" si="33"/>
        <v>-81913.776350844579</v>
      </c>
    </row>
    <row r="221" spans="1:20" x14ac:dyDescent="0.25">
      <c r="A221" s="108">
        <f>Données!A221</f>
        <v>5761</v>
      </c>
      <c r="B221" s="120" t="str">
        <f>Données!B221</f>
        <v>Romainmôtier-Envy</v>
      </c>
      <c r="C221" s="249">
        <f>Données!C221</f>
        <v>579</v>
      </c>
      <c r="D221" s="246">
        <f>RFS!W221</f>
        <v>948033.94987924281</v>
      </c>
      <c r="E221" s="262"/>
      <c r="F221" s="268">
        <f t="shared" si="27"/>
        <v>1637.3643348518874</v>
      </c>
      <c r="G221" s="262">
        <f t="shared" si="34"/>
        <v>-1791.027669301998</v>
      </c>
      <c r="H221" s="269">
        <f t="shared" si="28"/>
        <v>-829604.01642068545</v>
      </c>
      <c r="I221" s="241"/>
      <c r="J221" s="233">
        <f t="shared" si="31"/>
        <v>3070.1864702934859</v>
      </c>
      <c r="K221" s="262">
        <f t="shared" si="29"/>
        <v>-15.366333445011151</v>
      </c>
      <c r="L221" s="269">
        <f t="shared" si="32"/>
        <v>-8897</v>
      </c>
      <c r="M221" s="262"/>
      <c r="N221" s="271">
        <f>Données!S221</f>
        <v>42933.65</v>
      </c>
      <c r="O221" s="271">
        <f>Données!T221</f>
        <v>50250</v>
      </c>
      <c r="P221" s="271">
        <f>Données!U221</f>
        <v>28948.400000000001</v>
      </c>
      <c r="Q221" s="246">
        <f>Données!V221</f>
        <v>87592.5</v>
      </c>
      <c r="R221" s="233">
        <f t="shared" si="30"/>
        <v>87343.774999999994</v>
      </c>
      <c r="S221" s="250">
        <f t="shared" si="35"/>
        <v>-114257.01731411113</v>
      </c>
      <c r="T221" s="251">
        <f t="shared" si="33"/>
        <v>-26913.242314111136</v>
      </c>
    </row>
    <row r="222" spans="1:20" x14ac:dyDescent="0.25">
      <c r="A222" s="108">
        <f>Données!A222</f>
        <v>5762</v>
      </c>
      <c r="B222" s="120" t="str">
        <f>Données!B222</f>
        <v>Sergey</v>
      </c>
      <c r="C222" s="249">
        <f>Données!C222</f>
        <v>165</v>
      </c>
      <c r="D222" s="246">
        <f>RFS!W222</f>
        <v>342174.83141170238</v>
      </c>
      <c r="E222" s="262"/>
      <c r="F222" s="268">
        <f t="shared" si="27"/>
        <v>2073.7868570406204</v>
      </c>
      <c r="G222" s="262">
        <f t="shared" si="34"/>
        <v>-1354.605147113265</v>
      </c>
      <c r="H222" s="269">
        <f t="shared" si="28"/>
        <v>-178807.87941895099</v>
      </c>
      <c r="I222" s="241"/>
      <c r="J222" s="233">
        <f t="shared" si="31"/>
        <v>3157.4709747312327</v>
      </c>
      <c r="K222" s="262">
        <f t="shared" si="29"/>
        <v>0</v>
      </c>
      <c r="L222" s="269">
        <f t="shared" si="32"/>
        <v>0</v>
      </c>
      <c r="M222" s="262"/>
      <c r="N222" s="271">
        <f>Données!S222</f>
        <v>4988.2</v>
      </c>
      <c r="O222" s="271">
        <f>Données!T222</f>
        <v>0</v>
      </c>
      <c r="P222" s="271">
        <f>Données!U222</f>
        <v>13703.1</v>
      </c>
      <c r="Q222" s="246">
        <f>Données!V222</f>
        <v>0</v>
      </c>
      <c r="R222" s="233">
        <f t="shared" si="30"/>
        <v>9345.65</v>
      </c>
      <c r="S222" s="250">
        <f t="shared" si="35"/>
        <v>-32560.289908166382</v>
      </c>
      <c r="T222" s="251">
        <f t="shared" si="33"/>
        <v>-23214.639908166384</v>
      </c>
    </row>
    <row r="223" spans="1:20" x14ac:dyDescent="0.25">
      <c r="A223" s="108">
        <f>Données!A223</f>
        <v>5763</v>
      </c>
      <c r="B223" s="120" t="str">
        <f>Données!B223</f>
        <v>Valeyres-sous-Rances</v>
      </c>
      <c r="C223" s="249">
        <f>Données!C223</f>
        <v>573</v>
      </c>
      <c r="D223" s="246">
        <f>RFS!W223</f>
        <v>1155392.8419997375</v>
      </c>
      <c r="E223" s="262"/>
      <c r="F223" s="268">
        <f t="shared" si="27"/>
        <v>2016.3923944148996</v>
      </c>
      <c r="G223" s="262">
        <f t="shared" si="34"/>
        <v>-1411.9996097389858</v>
      </c>
      <c r="H223" s="269">
        <f t="shared" si="28"/>
        <v>-647260.62110435113</v>
      </c>
      <c r="I223" s="241"/>
      <c r="J223" s="233">
        <f t="shared" si="31"/>
        <v>3145.9920822060885</v>
      </c>
      <c r="K223" s="262">
        <f t="shared" si="29"/>
        <v>0</v>
      </c>
      <c r="L223" s="269">
        <f t="shared" si="32"/>
        <v>0</v>
      </c>
      <c r="M223" s="262"/>
      <c r="N223" s="271">
        <f>Données!S223</f>
        <v>49280.7</v>
      </c>
      <c r="O223" s="271">
        <f>Données!T223</f>
        <v>39250</v>
      </c>
      <c r="P223" s="271">
        <f>Données!U223</f>
        <v>11296.25</v>
      </c>
      <c r="Q223" s="246">
        <f>Données!V223</f>
        <v>71687.55</v>
      </c>
      <c r="R223" s="233">
        <f t="shared" si="30"/>
        <v>71419.739999999991</v>
      </c>
      <c r="S223" s="250">
        <f t="shared" si="35"/>
        <v>-113073.00677199599</v>
      </c>
      <c r="T223" s="251">
        <f t="shared" si="33"/>
        <v>-41653.266771996001</v>
      </c>
    </row>
    <row r="224" spans="1:20" x14ac:dyDescent="0.25">
      <c r="A224" s="108">
        <f>Données!A224</f>
        <v>5764</v>
      </c>
      <c r="B224" s="120" t="str">
        <f>Données!B224</f>
        <v>Vallorbe</v>
      </c>
      <c r="C224" s="249">
        <f>Données!C224</f>
        <v>4434</v>
      </c>
      <c r="D224" s="246">
        <f>RFS!W224</f>
        <v>6659336.5206679162</v>
      </c>
      <c r="E224" s="262"/>
      <c r="F224" s="268">
        <f t="shared" si="27"/>
        <v>1501.8801354686325</v>
      </c>
      <c r="G224" s="262">
        <f t="shared" si="34"/>
        <v>-1926.5118686852529</v>
      </c>
      <c r="H224" s="269">
        <f t="shared" si="28"/>
        <v>-6833722.90060033</v>
      </c>
      <c r="I224" s="241"/>
      <c r="J224" s="233">
        <f t="shared" si="31"/>
        <v>3043.089630416835</v>
      </c>
      <c r="K224" s="262">
        <f t="shared" si="29"/>
        <v>-42.463173321661998</v>
      </c>
      <c r="L224" s="269">
        <f t="shared" si="32"/>
        <v>-188282</v>
      </c>
      <c r="M224" s="262"/>
      <c r="N224" s="271">
        <f>Données!S224</f>
        <v>450790</v>
      </c>
      <c r="O224" s="271">
        <f>Données!T224</f>
        <v>231035.69999999995</v>
      </c>
      <c r="P224" s="271">
        <f>Données!U224</f>
        <v>287066.25</v>
      </c>
      <c r="Q224" s="246">
        <f>Données!V224</f>
        <v>2632478</v>
      </c>
      <c r="R224" s="233">
        <f t="shared" si="30"/>
        <v>1274189.375</v>
      </c>
      <c r="S224" s="250">
        <f t="shared" si="35"/>
        <v>-874983.79062308942</v>
      </c>
      <c r="T224" s="251">
        <f t="shared" si="33"/>
        <v>399205.58437691058</v>
      </c>
    </row>
    <row r="225" spans="1:20" x14ac:dyDescent="0.25">
      <c r="A225" s="108">
        <f>Données!A225</f>
        <v>5765</v>
      </c>
      <c r="B225" s="120" t="str">
        <f>Données!B225</f>
        <v>Vaulion</v>
      </c>
      <c r="C225" s="249">
        <f>Données!C225</f>
        <v>500</v>
      </c>
      <c r="D225" s="246">
        <f>RFS!W225</f>
        <v>676710.94919681654</v>
      </c>
      <c r="E225" s="262"/>
      <c r="F225" s="268">
        <f t="shared" si="27"/>
        <v>1353.421898393633</v>
      </c>
      <c r="G225" s="262">
        <f t="shared" si="34"/>
        <v>-2074.9701057602524</v>
      </c>
      <c r="H225" s="269">
        <f t="shared" si="28"/>
        <v>-829988.04230410093</v>
      </c>
      <c r="I225" s="241"/>
      <c r="J225" s="233">
        <f t="shared" si="31"/>
        <v>3013.3979830018347</v>
      </c>
      <c r="K225" s="262">
        <f t="shared" si="29"/>
        <v>-72.154820736662259</v>
      </c>
      <c r="L225" s="269">
        <f t="shared" si="32"/>
        <v>-36077</v>
      </c>
      <c r="M225" s="262"/>
      <c r="N225" s="271">
        <f>Données!S225</f>
        <v>36915.300000000003</v>
      </c>
      <c r="O225" s="271">
        <f>Données!T225</f>
        <v>25068.2</v>
      </c>
      <c r="P225" s="271">
        <f>Données!U225</f>
        <v>24972.75</v>
      </c>
      <c r="Q225" s="246">
        <f>Données!V225</f>
        <v>82005.45</v>
      </c>
      <c r="R225" s="233">
        <f t="shared" si="30"/>
        <v>68079.759999999995</v>
      </c>
      <c r="S225" s="250">
        <f t="shared" si="35"/>
        <v>-98667.545176261774</v>
      </c>
      <c r="T225" s="251">
        <f t="shared" si="33"/>
        <v>-30587.785176261779</v>
      </c>
    </row>
    <row r="226" spans="1:20" x14ac:dyDescent="0.25">
      <c r="A226" s="108">
        <f>Données!A226</f>
        <v>5766</v>
      </c>
      <c r="B226" s="120" t="str">
        <f>Données!B226</f>
        <v>Vuiteboeuf</v>
      </c>
      <c r="C226" s="249">
        <f>Données!C226</f>
        <v>616</v>
      </c>
      <c r="D226" s="246">
        <f>RFS!W226</f>
        <v>1024076.0511209827</v>
      </c>
      <c r="E226" s="262"/>
      <c r="F226" s="268">
        <f t="shared" si="27"/>
        <v>1662.4611219496473</v>
      </c>
      <c r="G226" s="262">
        <f t="shared" si="34"/>
        <v>-1765.9308822042381</v>
      </c>
      <c r="H226" s="269">
        <f t="shared" si="28"/>
        <v>-870250.73875024857</v>
      </c>
      <c r="I226" s="241"/>
      <c r="J226" s="233">
        <f t="shared" si="31"/>
        <v>3075.2058277130377</v>
      </c>
      <c r="K226" s="262">
        <f t="shared" si="29"/>
        <v>-10.346976025459298</v>
      </c>
      <c r="L226" s="269">
        <f t="shared" si="32"/>
        <v>-6374</v>
      </c>
      <c r="M226" s="262"/>
      <c r="N226" s="271">
        <f>Données!S226</f>
        <v>12008.75</v>
      </c>
      <c r="O226" s="271">
        <f>Données!T226</f>
        <v>1504.8</v>
      </c>
      <c r="P226" s="271">
        <f>Données!U226</f>
        <v>32914</v>
      </c>
      <c r="Q226" s="246">
        <f>Données!V226</f>
        <v>42421</v>
      </c>
      <c r="R226" s="233">
        <f t="shared" si="30"/>
        <v>35940.074999999997</v>
      </c>
      <c r="S226" s="250">
        <f t="shared" si="35"/>
        <v>-121558.4156571545</v>
      </c>
      <c r="T226" s="251">
        <f t="shared" si="33"/>
        <v>-85618.340657154506</v>
      </c>
    </row>
    <row r="227" spans="1:20" x14ac:dyDescent="0.25">
      <c r="A227" s="108">
        <f>Données!A227</f>
        <v>5785</v>
      </c>
      <c r="B227" s="120" t="str">
        <f>Données!B227</f>
        <v>Corcelles-le-Jorat</v>
      </c>
      <c r="C227" s="249">
        <f>Données!C227</f>
        <v>495</v>
      </c>
      <c r="D227" s="246">
        <f>RFS!W227</f>
        <v>1227195.8207229797</v>
      </c>
      <c r="E227" s="262"/>
      <c r="F227" s="268">
        <f t="shared" si="27"/>
        <v>2479.1834762080398</v>
      </c>
      <c r="G227" s="262">
        <f t="shared" si="34"/>
        <v>-949.20852794584562</v>
      </c>
      <c r="H227" s="269">
        <f t="shared" si="28"/>
        <v>-375886.57706655486</v>
      </c>
      <c r="I227" s="241"/>
      <c r="J227" s="233">
        <f t="shared" si="31"/>
        <v>3238.5502985647163</v>
      </c>
      <c r="K227" s="262">
        <f t="shared" si="29"/>
        <v>0</v>
      </c>
      <c r="L227" s="269">
        <f t="shared" si="32"/>
        <v>0</v>
      </c>
      <c r="M227" s="262"/>
      <c r="N227" s="271">
        <f>Données!S227</f>
        <v>63999.15</v>
      </c>
      <c r="O227" s="271">
        <f>Données!T227</f>
        <v>64950</v>
      </c>
      <c r="P227" s="271">
        <f>Données!U227</f>
        <v>14085.95</v>
      </c>
      <c r="Q227" s="246">
        <f>Données!V227</f>
        <v>0</v>
      </c>
      <c r="R227" s="233">
        <f t="shared" si="30"/>
        <v>71517.55</v>
      </c>
      <c r="S227" s="250">
        <f t="shared" si="35"/>
        <v>-97680.869724499149</v>
      </c>
      <c r="T227" s="251">
        <f t="shared" si="33"/>
        <v>-26163.319724499146</v>
      </c>
    </row>
    <row r="228" spans="1:20" x14ac:dyDescent="0.25">
      <c r="A228" s="108">
        <f>Données!A228</f>
        <v>5790</v>
      </c>
      <c r="B228" s="120" t="str">
        <f>Données!B228</f>
        <v>Maracon</v>
      </c>
      <c r="C228" s="249">
        <f>Données!C228</f>
        <v>565</v>
      </c>
      <c r="D228" s="246">
        <f>RFS!W228</f>
        <v>1210442.6837033813</v>
      </c>
      <c r="E228" s="262"/>
      <c r="F228" s="268">
        <f t="shared" si="27"/>
        <v>2142.3764313334182</v>
      </c>
      <c r="G228" s="262">
        <f t="shared" si="34"/>
        <v>-1286.0155728204672</v>
      </c>
      <c r="H228" s="269">
        <f t="shared" si="28"/>
        <v>-581279.03891485126</v>
      </c>
      <c r="I228" s="241"/>
      <c r="J228" s="233">
        <f t="shared" si="31"/>
        <v>3171.1888895897919</v>
      </c>
      <c r="K228" s="262">
        <f t="shared" si="29"/>
        <v>0</v>
      </c>
      <c r="L228" s="269">
        <f t="shared" si="32"/>
        <v>0</v>
      </c>
      <c r="M228" s="262"/>
      <c r="N228" s="271">
        <f>Données!S228</f>
        <v>14355</v>
      </c>
      <c r="O228" s="271">
        <f>Données!T228</f>
        <v>4431.8999999999996</v>
      </c>
      <c r="P228" s="271">
        <f>Données!U228</f>
        <v>11297.05</v>
      </c>
      <c r="Q228" s="246">
        <f>Données!V228</f>
        <v>66.099999999999994</v>
      </c>
      <c r="R228" s="233">
        <f t="shared" si="30"/>
        <v>15061.805</v>
      </c>
      <c r="S228" s="250">
        <f t="shared" si="35"/>
        <v>-111494.3260491758</v>
      </c>
      <c r="T228" s="251">
        <f t="shared" si="33"/>
        <v>-96432.52104917579</v>
      </c>
    </row>
    <row r="229" spans="1:20" x14ac:dyDescent="0.25">
      <c r="A229" s="108">
        <f>Données!A229</f>
        <v>5792</v>
      </c>
      <c r="B229" s="120" t="str">
        <f>Données!B229</f>
        <v>Montpreveyres</v>
      </c>
      <c r="C229" s="249">
        <f>Données!C229</f>
        <v>670</v>
      </c>
      <c r="D229" s="246">
        <f>RFS!W229</f>
        <v>1534349.7997891209</v>
      </c>
      <c r="E229" s="262"/>
      <c r="F229" s="268">
        <f t="shared" si="27"/>
        <v>2290.074328043464</v>
      </c>
      <c r="G229" s="262">
        <f t="shared" si="34"/>
        <v>-1138.3176761104214</v>
      </c>
      <c r="H229" s="269">
        <f t="shared" si="28"/>
        <v>-610138.27439518599</v>
      </c>
      <c r="I229" s="241"/>
      <c r="J229" s="233">
        <f t="shared" si="31"/>
        <v>3200.7284689318012</v>
      </c>
      <c r="K229" s="262">
        <f t="shared" si="29"/>
        <v>0</v>
      </c>
      <c r="L229" s="269">
        <f t="shared" si="32"/>
        <v>0</v>
      </c>
      <c r="M229" s="262"/>
      <c r="N229" s="271">
        <f>Données!S229</f>
        <v>152155.29999999999</v>
      </c>
      <c r="O229" s="271">
        <f>Données!T229</f>
        <v>244.20000000001164</v>
      </c>
      <c r="P229" s="271">
        <f>Données!U229</f>
        <v>95722.75</v>
      </c>
      <c r="Q229" s="246">
        <f>Données!V229</f>
        <v>5476.05</v>
      </c>
      <c r="R229" s="233">
        <f t="shared" si="30"/>
        <v>125703.94</v>
      </c>
      <c r="S229" s="250">
        <f t="shared" si="35"/>
        <v>-132214.51053619076</v>
      </c>
      <c r="T229" s="251">
        <f t="shared" si="33"/>
        <v>-6510.5705361907603</v>
      </c>
    </row>
    <row r="230" spans="1:20" x14ac:dyDescent="0.25">
      <c r="A230" s="108">
        <f>Données!A230</f>
        <v>5798</v>
      </c>
      <c r="B230" s="120" t="str">
        <f>Données!B230</f>
        <v>Ropraz</v>
      </c>
      <c r="C230" s="249">
        <f>Données!C230</f>
        <v>535</v>
      </c>
      <c r="D230" s="246">
        <f>RFS!W230</f>
        <v>1120996.6758090782</v>
      </c>
      <c r="E230" s="262"/>
      <c r="F230" s="268">
        <f t="shared" si="27"/>
        <v>2095.320889362763</v>
      </c>
      <c r="G230" s="262">
        <f t="shared" si="34"/>
        <v>-1333.0711147911225</v>
      </c>
      <c r="H230" s="269">
        <f t="shared" si="28"/>
        <v>-570554.43713060045</v>
      </c>
      <c r="I230" s="241"/>
      <c r="J230" s="233">
        <f t="shared" si="31"/>
        <v>3161.7777811956607</v>
      </c>
      <c r="K230" s="262">
        <f t="shared" si="29"/>
        <v>0</v>
      </c>
      <c r="L230" s="269">
        <f t="shared" si="32"/>
        <v>0</v>
      </c>
      <c r="M230" s="262"/>
      <c r="N230" s="271">
        <f>Données!S230</f>
        <v>42227.9</v>
      </c>
      <c r="O230" s="271">
        <f>Données!T230</f>
        <v>104.5</v>
      </c>
      <c r="P230" s="271">
        <f>Données!U230</f>
        <v>71538.899999999994</v>
      </c>
      <c r="Q230" s="246">
        <f>Données!V230</f>
        <v>40958.199999999997</v>
      </c>
      <c r="R230" s="233">
        <f t="shared" si="30"/>
        <v>69223.109999999986</v>
      </c>
      <c r="S230" s="250">
        <f t="shared" si="35"/>
        <v>-105574.27333860009</v>
      </c>
      <c r="T230" s="251">
        <f t="shared" si="33"/>
        <v>-36351.163338600105</v>
      </c>
    </row>
    <row r="231" spans="1:20" x14ac:dyDescent="0.25">
      <c r="A231" s="108">
        <f>Données!A231</f>
        <v>5799</v>
      </c>
      <c r="B231" s="120" t="str">
        <f>Données!B231</f>
        <v>Servion</v>
      </c>
      <c r="C231" s="249">
        <f>Données!C231</f>
        <v>2241</v>
      </c>
      <c r="D231" s="246">
        <f>RFS!W231</f>
        <v>5463490.5333811585</v>
      </c>
      <c r="E231" s="262"/>
      <c r="F231" s="268">
        <f t="shared" si="27"/>
        <v>2437.9698944137253</v>
      </c>
      <c r="G231" s="262">
        <f t="shared" si="34"/>
        <v>-990.42210974016007</v>
      </c>
      <c r="H231" s="269">
        <f t="shared" si="28"/>
        <v>-1775628.7583421592</v>
      </c>
      <c r="I231" s="241"/>
      <c r="J231" s="233">
        <f t="shared" si="31"/>
        <v>3230.3075822058536</v>
      </c>
      <c r="K231" s="262">
        <f t="shared" si="29"/>
        <v>0</v>
      </c>
      <c r="L231" s="269">
        <f t="shared" si="32"/>
        <v>0</v>
      </c>
      <c r="M231" s="262"/>
      <c r="N231" s="271">
        <f>Données!S231</f>
        <v>152330.9</v>
      </c>
      <c r="O231" s="271">
        <f>Données!T231</f>
        <v>2283.3000000000002</v>
      </c>
      <c r="P231" s="271">
        <f>Données!U231</f>
        <v>174448.05</v>
      </c>
      <c r="Q231" s="246">
        <f>Données!V231</f>
        <v>40137.949999999997</v>
      </c>
      <c r="R231" s="233">
        <f t="shared" si="30"/>
        <v>176572.51</v>
      </c>
      <c r="S231" s="250">
        <f t="shared" si="35"/>
        <v>-442227.93748000526</v>
      </c>
      <c r="T231" s="251">
        <f t="shared" si="33"/>
        <v>-265655.42748000525</v>
      </c>
    </row>
    <row r="232" spans="1:20" x14ac:dyDescent="0.25">
      <c r="A232" s="108">
        <f>Données!A232</f>
        <v>5803</v>
      </c>
      <c r="B232" s="120" t="str">
        <f>Données!B232</f>
        <v>Vulliens</v>
      </c>
      <c r="C232" s="249">
        <f>Données!C232</f>
        <v>630</v>
      </c>
      <c r="D232" s="246">
        <f>RFS!W232</f>
        <v>1360369.4301314929</v>
      </c>
      <c r="E232" s="262"/>
      <c r="F232" s="268">
        <f t="shared" si="27"/>
        <v>2159.3165557642747</v>
      </c>
      <c r="G232" s="262">
        <f t="shared" si="34"/>
        <v>-1269.0754483896108</v>
      </c>
      <c r="H232" s="269">
        <f t="shared" si="28"/>
        <v>-639614.02598836389</v>
      </c>
      <c r="I232" s="241"/>
      <c r="J232" s="233">
        <f t="shared" si="31"/>
        <v>3174.5769144759633</v>
      </c>
      <c r="K232" s="262">
        <f t="shared" si="29"/>
        <v>0</v>
      </c>
      <c r="L232" s="269">
        <f t="shared" si="32"/>
        <v>0</v>
      </c>
      <c r="M232" s="262"/>
      <c r="N232" s="271">
        <f>Données!S232</f>
        <v>61771.05</v>
      </c>
      <c r="O232" s="271">
        <f>Données!T232</f>
        <v>765.2</v>
      </c>
      <c r="P232" s="271">
        <f>Données!U232</f>
        <v>40724.199999999997</v>
      </c>
      <c r="Q232" s="246">
        <f>Données!V232</f>
        <v>1566.55</v>
      </c>
      <c r="R232" s="233">
        <f t="shared" si="30"/>
        <v>52100.189999999995</v>
      </c>
      <c r="S232" s="250">
        <f t="shared" si="35"/>
        <v>-124321.10692208984</v>
      </c>
      <c r="T232" s="251">
        <f t="shared" si="33"/>
        <v>-72220.916922089848</v>
      </c>
    </row>
    <row r="233" spans="1:20" x14ac:dyDescent="0.25">
      <c r="A233" s="108">
        <f>Données!A233</f>
        <v>5804</v>
      </c>
      <c r="B233" s="120" t="str">
        <f>Données!B233</f>
        <v>Jorat-Menthue</v>
      </c>
      <c r="C233" s="249">
        <f>Données!C233</f>
        <v>1564</v>
      </c>
      <c r="D233" s="246">
        <f>RFS!W233</f>
        <v>3314723.1231017513</v>
      </c>
      <c r="E233" s="262"/>
      <c r="F233" s="268">
        <f t="shared" si="27"/>
        <v>2119.3881861264395</v>
      </c>
      <c r="G233" s="262">
        <f t="shared" si="34"/>
        <v>-1309.003818027446</v>
      </c>
      <c r="H233" s="269">
        <f t="shared" si="28"/>
        <v>-1637825.5771159404</v>
      </c>
      <c r="I233" s="241"/>
      <c r="J233" s="233">
        <f t="shared" si="31"/>
        <v>3166.5912405483964</v>
      </c>
      <c r="K233" s="262">
        <f t="shared" si="29"/>
        <v>0</v>
      </c>
      <c r="L233" s="269">
        <f t="shared" si="32"/>
        <v>0</v>
      </c>
      <c r="M233" s="262"/>
      <c r="N233" s="271">
        <f>Données!S233</f>
        <v>149350.5</v>
      </c>
      <c r="O233" s="271">
        <f>Données!T233</f>
        <v>5247</v>
      </c>
      <c r="P233" s="271">
        <f>Données!U233</f>
        <v>122652.05</v>
      </c>
      <c r="Q233" s="246">
        <f>Données!V233</f>
        <v>21030.3</v>
      </c>
      <c r="R233" s="233">
        <f t="shared" si="30"/>
        <v>144933.86499999999</v>
      </c>
      <c r="S233" s="250">
        <f t="shared" si="35"/>
        <v>-308632.08131134679</v>
      </c>
      <c r="T233" s="251">
        <f t="shared" si="33"/>
        <v>-163698.2163113468</v>
      </c>
    </row>
    <row r="234" spans="1:20" x14ac:dyDescent="0.25">
      <c r="A234" s="108">
        <f>Données!A234</f>
        <v>5805</v>
      </c>
      <c r="B234" s="120" t="str">
        <f>Données!B234</f>
        <v>Oron</v>
      </c>
      <c r="C234" s="249">
        <f>Données!C234</f>
        <v>6451</v>
      </c>
      <c r="D234" s="246">
        <f>RFS!W234</f>
        <v>12237352.566199142</v>
      </c>
      <c r="E234" s="262"/>
      <c r="F234" s="268">
        <f t="shared" si="27"/>
        <v>1896.9698598975574</v>
      </c>
      <c r="G234" s="262">
        <f t="shared" si="34"/>
        <v>-1531.422144256328</v>
      </c>
      <c r="H234" s="269">
        <f t="shared" si="28"/>
        <v>-7903363.4020780576</v>
      </c>
      <c r="I234" s="241"/>
      <c r="J234" s="233">
        <f t="shared" si="31"/>
        <v>3122.1075753026198</v>
      </c>
      <c r="K234" s="262">
        <f t="shared" si="29"/>
        <v>0</v>
      </c>
      <c r="L234" s="269">
        <f t="shared" si="32"/>
        <v>0</v>
      </c>
      <c r="M234" s="262"/>
      <c r="N234" s="271">
        <f>Données!S234</f>
        <v>893517</v>
      </c>
      <c r="O234" s="271">
        <f>Données!T234</f>
        <v>131932.4</v>
      </c>
      <c r="P234" s="271">
        <f>Données!U234</f>
        <v>677068.7</v>
      </c>
      <c r="Q234" s="246">
        <f>Données!V234</f>
        <v>115875.55</v>
      </c>
      <c r="R234" s="233">
        <f t="shared" si="30"/>
        <v>886021.71500000008</v>
      </c>
      <c r="S234" s="250">
        <f t="shared" si="35"/>
        <v>-1273008.6678641294</v>
      </c>
      <c r="T234" s="251">
        <f t="shared" si="33"/>
        <v>-386986.95286412933</v>
      </c>
    </row>
    <row r="235" spans="1:20" x14ac:dyDescent="0.25">
      <c r="A235" s="108">
        <f>Données!A235</f>
        <v>5806</v>
      </c>
      <c r="B235" s="120" t="str">
        <f>Données!B235</f>
        <v>Jorat-Mézières</v>
      </c>
      <c r="C235" s="249">
        <f>Données!C235</f>
        <v>3209</v>
      </c>
      <c r="D235" s="246">
        <f>RFS!W235</f>
        <v>7011034.998109811</v>
      </c>
      <c r="E235" s="262"/>
      <c r="F235" s="268">
        <f t="shared" si="27"/>
        <v>2184.8036765689658</v>
      </c>
      <c r="G235" s="262">
        <f t="shared" si="34"/>
        <v>-1243.5883275849196</v>
      </c>
      <c r="H235" s="269">
        <f t="shared" si="28"/>
        <v>-3192539.9545760057</v>
      </c>
      <c r="I235" s="241"/>
      <c r="J235" s="233">
        <f t="shared" si="31"/>
        <v>3179.6743386369012</v>
      </c>
      <c r="K235" s="262">
        <f t="shared" si="29"/>
        <v>0</v>
      </c>
      <c r="L235" s="269">
        <f t="shared" si="32"/>
        <v>0</v>
      </c>
      <c r="M235" s="262"/>
      <c r="N235" s="271">
        <f>Données!S235</f>
        <v>217520.35</v>
      </c>
      <c r="O235" s="271">
        <f>Données!T235</f>
        <v>132141.79999999999</v>
      </c>
      <c r="P235" s="271">
        <f>Données!U235</f>
        <v>245903.55</v>
      </c>
      <c r="Q235" s="246">
        <f>Données!V235</f>
        <v>43116.35</v>
      </c>
      <c r="R235" s="233">
        <f t="shared" si="30"/>
        <v>310717.755</v>
      </c>
      <c r="S235" s="250">
        <f t="shared" si="35"/>
        <v>-633248.30494124803</v>
      </c>
      <c r="T235" s="251">
        <f t="shared" si="33"/>
        <v>-322530.54994124803</v>
      </c>
    </row>
    <row r="236" spans="1:20" x14ac:dyDescent="0.25">
      <c r="A236" s="108">
        <f>Données!A236</f>
        <v>5812</v>
      </c>
      <c r="B236" s="120" t="str">
        <f>Données!B236</f>
        <v>Champtauroz</v>
      </c>
      <c r="C236" s="249">
        <f>Données!C236</f>
        <v>184</v>
      </c>
      <c r="D236" s="246">
        <f>RFS!W236</f>
        <v>278529.47959080077</v>
      </c>
      <c r="E236" s="262"/>
      <c r="F236" s="268">
        <f t="shared" si="27"/>
        <v>1513.7471716891346</v>
      </c>
      <c r="G236" s="262">
        <f t="shared" si="34"/>
        <v>-1914.6448324647508</v>
      </c>
      <c r="H236" s="269">
        <f t="shared" si="28"/>
        <v>-281835.71933881135</v>
      </c>
      <c r="I236" s="241"/>
      <c r="J236" s="233">
        <f t="shared" si="31"/>
        <v>3045.4630376609352</v>
      </c>
      <c r="K236" s="262">
        <f t="shared" si="29"/>
        <v>-40.089766077561762</v>
      </c>
      <c r="L236" s="269">
        <f t="shared" si="32"/>
        <v>-7377</v>
      </c>
      <c r="M236" s="262"/>
      <c r="N236" s="271">
        <f>Données!S236</f>
        <v>16060</v>
      </c>
      <c r="O236" s="271">
        <f>Données!T236</f>
        <v>0</v>
      </c>
      <c r="P236" s="271">
        <f>Données!U236</f>
        <v>16803.45</v>
      </c>
      <c r="Q236" s="246">
        <f>Données!V236</f>
        <v>0</v>
      </c>
      <c r="R236" s="233">
        <f t="shared" si="30"/>
        <v>16431.724999999999</v>
      </c>
      <c r="S236" s="250">
        <f t="shared" si="35"/>
        <v>-36309.656624864328</v>
      </c>
      <c r="T236" s="251">
        <f t="shared" si="33"/>
        <v>-19877.93162486433</v>
      </c>
    </row>
    <row r="237" spans="1:20" x14ac:dyDescent="0.25">
      <c r="A237" s="108">
        <f>Données!A237</f>
        <v>5813</v>
      </c>
      <c r="B237" s="120" t="str">
        <f>Données!B237</f>
        <v>Chevroux</v>
      </c>
      <c r="C237" s="249">
        <f>Données!C237</f>
        <v>487</v>
      </c>
      <c r="D237" s="246">
        <f>RFS!W237</f>
        <v>1429606.4172386089</v>
      </c>
      <c r="E237" s="262"/>
      <c r="F237" s="268">
        <f t="shared" si="27"/>
        <v>2935.5367910443715</v>
      </c>
      <c r="G237" s="262">
        <f t="shared" si="34"/>
        <v>-492.8552131095139</v>
      </c>
      <c r="H237" s="269">
        <f t="shared" si="28"/>
        <v>-192016.39102746663</v>
      </c>
      <c r="I237" s="241"/>
      <c r="J237" s="233">
        <f t="shared" si="31"/>
        <v>3329.8209615319824</v>
      </c>
      <c r="K237" s="262">
        <f t="shared" si="29"/>
        <v>0</v>
      </c>
      <c r="L237" s="269">
        <f t="shared" si="32"/>
        <v>0</v>
      </c>
      <c r="M237" s="262"/>
      <c r="N237" s="271">
        <f>Données!S237</f>
        <v>102995.75</v>
      </c>
      <c r="O237" s="271">
        <f>Données!T237</f>
        <v>76492.800000000003</v>
      </c>
      <c r="P237" s="271">
        <f>Données!U237</f>
        <v>55233.85</v>
      </c>
      <c r="Q237" s="246">
        <f>Données!V237</f>
        <v>2556.9499999999998</v>
      </c>
      <c r="R237" s="233">
        <f t="shared" si="30"/>
        <v>118128.285</v>
      </c>
      <c r="S237" s="250">
        <f t="shared" si="35"/>
        <v>-96102.189001678969</v>
      </c>
      <c r="T237" s="251">
        <f t="shared" si="33"/>
        <v>22026.095998321034</v>
      </c>
    </row>
    <row r="238" spans="1:20" x14ac:dyDescent="0.25">
      <c r="A238" s="108">
        <f>Données!A238</f>
        <v>5816</v>
      </c>
      <c r="B238" s="120" t="str">
        <f>Données!B238</f>
        <v>Corcelles-près-Payerne</v>
      </c>
      <c r="C238" s="249">
        <f>Données!C238</f>
        <v>3129</v>
      </c>
      <c r="D238" s="246">
        <f>RFS!W238</f>
        <v>4840042.9495590832</v>
      </c>
      <c r="E238" s="262"/>
      <c r="F238" s="268">
        <f t="shared" si="27"/>
        <v>1546.8337965992596</v>
      </c>
      <c r="G238" s="262">
        <f t="shared" si="34"/>
        <v>-1881.5582075546258</v>
      </c>
      <c r="H238" s="269">
        <f t="shared" si="28"/>
        <v>-4709916.50515074</v>
      </c>
      <c r="I238" s="241"/>
      <c r="J238" s="233">
        <f t="shared" si="31"/>
        <v>3052.0803626429606</v>
      </c>
      <c r="K238" s="262">
        <f t="shared" si="29"/>
        <v>-33.472441095536396</v>
      </c>
      <c r="L238" s="269">
        <f t="shared" si="32"/>
        <v>-104735</v>
      </c>
      <c r="M238" s="262"/>
      <c r="N238" s="271">
        <f>Données!S238</f>
        <v>352624.7</v>
      </c>
      <c r="O238" s="271">
        <f>Données!T238</f>
        <v>58753.1</v>
      </c>
      <c r="P238" s="271">
        <f>Données!U238</f>
        <v>299306.15000000002</v>
      </c>
      <c r="Q238" s="246">
        <f>Données!V238</f>
        <v>63260.85</v>
      </c>
      <c r="R238" s="233">
        <f t="shared" si="30"/>
        <v>374320.23</v>
      </c>
      <c r="S238" s="250">
        <f t="shared" si="35"/>
        <v>-617461.49771304615</v>
      </c>
      <c r="T238" s="251">
        <f t="shared" si="33"/>
        <v>-243141.26771304617</v>
      </c>
    </row>
    <row r="239" spans="1:20" x14ac:dyDescent="0.25">
      <c r="A239" s="108">
        <f>Données!A239</f>
        <v>5817</v>
      </c>
      <c r="B239" s="120" t="str">
        <f>Données!B239</f>
        <v>Grandcour</v>
      </c>
      <c r="C239" s="249">
        <f>Données!C239</f>
        <v>970</v>
      </c>
      <c r="D239" s="246">
        <f>RFS!W239</f>
        <v>1696498.2140428957</v>
      </c>
      <c r="E239" s="262"/>
      <c r="F239" s="268">
        <f t="shared" si="27"/>
        <v>1748.9672309720575</v>
      </c>
      <c r="G239" s="262">
        <f t="shared" si="34"/>
        <v>-1679.424773181828</v>
      </c>
      <c r="H239" s="269">
        <f t="shared" si="28"/>
        <v>-1303233.6239890985</v>
      </c>
      <c r="I239" s="241"/>
      <c r="J239" s="233">
        <f t="shared" si="31"/>
        <v>3092.5070495175196</v>
      </c>
      <c r="K239" s="262">
        <f t="shared" si="29"/>
        <v>0</v>
      </c>
      <c r="L239" s="269">
        <f t="shared" si="32"/>
        <v>0</v>
      </c>
      <c r="M239" s="262"/>
      <c r="N239" s="271">
        <f>Données!S239</f>
        <v>66399.649999999994</v>
      </c>
      <c r="O239" s="271">
        <f>Données!T239</f>
        <v>57101.5</v>
      </c>
      <c r="P239" s="271">
        <f>Données!U239</f>
        <v>70348.600000000006</v>
      </c>
      <c r="Q239" s="246">
        <f>Données!V239</f>
        <v>8951.65</v>
      </c>
      <c r="R239" s="233">
        <f t="shared" si="30"/>
        <v>99610.37</v>
      </c>
      <c r="S239" s="250">
        <f t="shared" si="35"/>
        <v>-191415.03764194783</v>
      </c>
      <c r="T239" s="251">
        <f t="shared" si="33"/>
        <v>-91804.667641947832</v>
      </c>
    </row>
    <row r="240" spans="1:20" x14ac:dyDescent="0.25">
      <c r="A240" s="108">
        <f>Données!A240</f>
        <v>5819</v>
      </c>
      <c r="B240" s="120" t="str">
        <f>Données!B240</f>
        <v>Henniez</v>
      </c>
      <c r="C240" s="249">
        <f>Données!C240</f>
        <v>464</v>
      </c>
      <c r="D240" s="246">
        <f>RFS!W240</f>
        <v>878469.46847270604</v>
      </c>
      <c r="E240" s="262"/>
      <c r="F240" s="268">
        <f t="shared" si="27"/>
        <v>1893.2531648118666</v>
      </c>
      <c r="G240" s="262">
        <f t="shared" si="34"/>
        <v>-1535.1388393420189</v>
      </c>
      <c r="H240" s="269">
        <f t="shared" si="28"/>
        <v>-569843.53716375737</v>
      </c>
      <c r="I240" s="241"/>
      <c r="J240" s="233">
        <f t="shared" si="31"/>
        <v>3121.3642362854816</v>
      </c>
      <c r="K240" s="262">
        <f t="shared" si="29"/>
        <v>0</v>
      </c>
      <c r="L240" s="269">
        <f t="shared" si="32"/>
        <v>0</v>
      </c>
      <c r="M240" s="262"/>
      <c r="N240" s="271">
        <f>Données!S240</f>
        <v>8667.35</v>
      </c>
      <c r="O240" s="271">
        <f>Données!T240</f>
        <v>0</v>
      </c>
      <c r="P240" s="271">
        <f>Données!U240</f>
        <v>14739.8</v>
      </c>
      <c r="Q240" s="246">
        <f>Données!V240</f>
        <v>6201.35</v>
      </c>
      <c r="R240" s="233">
        <f t="shared" si="30"/>
        <v>13563.980000000001</v>
      </c>
      <c r="S240" s="250">
        <f t="shared" si="35"/>
        <v>-91563.481923570915</v>
      </c>
      <c r="T240" s="251">
        <f t="shared" si="33"/>
        <v>-77999.501923570919</v>
      </c>
    </row>
    <row r="241" spans="1:20" x14ac:dyDescent="0.25">
      <c r="A241" s="108">
        <f>Données!A241</f>
        <v>5821</v>
      </c>
      <c r="B241" s="120" t="str">
        <f>Données!B241</f>
        <v>Missy</v>
      </c>
      <c r="C241" s="249">
        <f>Données!C241</f>
        <v>379</v>
      </c>
      <c r="D241" s="246">
        <f>RFS!W241</f>
        <v>630581.67037733574</v>
      </c>
      <c r="E241" s="262"/>
      <c r="F241" s="268">
        <f t="shared" si="27"/>
        <v>1663.8038796235771</v>
      </c>
      <c r="G241" s="262">
        <f t="shared" si="34"/>
        <v>-1764.5881245303083</v>
      </c>
      <c r="H241" s="269">
        <f t="shared" si="28"/>
        <v>-535023.11935758952</v>
      </c>
      <c r="I241" s="241"/>
      <c r="J241" s="233">
        <f t="shared" si="31"/>
        <v>3075.4743792478234</v>
      </c>
      <c r="K241" s="262">
        <f t="shared" si="29"/>
        <v>-10.078424490673569</v>
      </c>
      <c r="L241" s="269">
        <f t="shared" si="32"/>
        <v>-3820</v>
      </c>
      <c r="M241" s="262"/>
      <c r="N241" s="271">
        <f>Données!S241</f>
        <v>44968.7</v>
      </c>
      <c r="O241" s="271">
        <f>Données!T241</f>
        <v>0</v>
      </c>
      <c r="P241" s="271">
        <f>Données!U241</f>
        <v>25576.400000000001</v>
      </c>
      <c r="Q241" s="246">
        <f>Données!V241</f>
        <v>0</v>
      </c>
      <c r="R241" s="233">
        <f t="shared" si="30"/>
        <v>35272.550000000003</v>
      </c>
      <c r="S241" s="250">
        <f t="shared" si="35"/>
        <v>-74789.99924360642</v>
      </c>
      <c r="T241" s="251">
        <f t="shared" si="33"/>
        <v>-39517.449243606417</v>
      </c>
    </row>
    <row r="242" spans="1:20" x14ac:dyDescent="0.25">
      <c r="A242" s="108">
        <f>Données!A242</f>
        <v>5822</v>
      </c>
      <c r="B242" s="120" t="str">
        <f>Données!B242</f>
        <v>Payerne</v>
      </c>
      <c r="C242" s="249">
        <f>Données!C242</f>
        <v>10972</v>
      </c>
      <c r="D242" s="246">
        <f>RFS!W242</f>
        <v>17125473.268116962</v>
      </c>
      <c r="E242" s="262"/>
      <c r="F242" s="268">
        <f t="shared" si="27"/>
        <v>1560.8342388003064</v>
      </c>
      <c r="G242" s="262">
        <f t="shared" si="34"/>
        <v>-1867.557765353579</v>
      </c>
      <c r="H242" s="269">
        <f t="shared" si="28"/>
        <v>-16392675.041167576</v>
      </c>
      <c r="I242" s="241"/>
      <c r="J242" s="233">
        <f t="shared" si="31"/>
        <v>3054.8804510831696</v>
      </c>
      <c r="K242" s="262">
        <f t="shared" si="29"/>
        <v>-30.672352655327359</v>
      </c>
      <c r="L242" s="269">
        <f t="shared" si="32"/>
        <v>-336537</v>
      </c>
      <c r="M242" s="262"/>
      <c r="N242" s="271">
        <f>Données!S242</f>
        <v>1404733.2</v>
      </c>
      <c r="O242" s="271">
        <f>Données!T242</f>
        <v>186924.2</v>
      </c>
      <c r="P242" s="271">
        <f>Données!U242</f>
        <v>470439.4</v>
      </c>
      <c r="Q242" s="246">
        <f>Données!V242</f>
        <v>328790.7</v>
      </c>
      <c r="R242" s="233">
        <f t="shared" si="30"/>
        <v>1129685.6099999999</v>
      </c>
      <c r="S242" s="250">
        <f t="shared" si="35"/>
        <v>-2165160.6113478881</v>
      </c>
      <c r="T242" s="251">
        <f t="shared" si="33"/>
        <v>-1035475.0013478883</v>
      </c>
    </row>
    <row r="243" spans="1:20" x14ac:dyDescent="0.25">
      <c r="A243" s="108">
        <f>Données!A243</f>
        <v>5827</v>
      </c>
      <c r="B243" s="120" t="str">
        <f>Données!B243</f>
        <v>Trey</v>
      </c>
      <c r="C243" s="249">
        <f>Données!C243</f>
        <v>305</v>
      </c>
      <c r="D243" s="246">
        <f>RFS!W243</f>
        <v>569726.00177170115</v>
      </c>
      <c r="E243" s="262"/>
      <c r="F243" s="268">
        <f t="shared" si="27"/>
        <v>1867.954104169512</v>
      </c>
      <c r="G243" s="262">
        <f t="shared" si="34"/>
        <v>-1560.4378999843734</v>
      </c>
      <c r="H243" s="269">
        <f t="shared" si="28"/>
        <v>-380746.84759618714</v>
      </c>
      <c r="I243" s="241"/>
      <c r="J243" s="233">
        <f t="shared" si="31"/>
        <v>3116.304424157011</v>
      </c>
      <c r="K243" s="262">
        <f t="shared" si="29"/>
        <v>0</v>
      </c>
      <c r="L243" s="269">
        <f t="shared" si="32"/>
        <v>0</v>
      </c>
      <c r="M243" s="262"/>
      <c r="N243" s="271">
        <f>Données!S243</f>
        <v>9155.2999999999993</v>
      </c>
      <c r="O243" s="271">
        <f>Données!T243</f>
        <v>37753.599999999999</v>
      </c>
      <c r="P243" s="271">
        <f>Données!U243</f>
        <v>2843.3</v>
      </c>
      <c r="Q243" s="246">
        <f>Données!V243</f>
        <v>0</v>
      </c>
      <c r="R243" s="233">
        <f t="shared" si="30"/>
        <v>24876.1</v>
      </c>
      <c r="S243" s="250">
        <f t="shared" si="35"/>
        <v>-60187.202557519682</v>
      </c>
      <c r="T243" s="251">
        <f t="shared" si="33"/>
        <v>-35311.102557519684</v>
      </c>
    </row>
    <row r="244" spans="1:20" x14ac:dyDescent="0.25">
      <c r="A244" s="108">
        <f>Données!A244</f>
        <v>5828</v>
      </c>
      <c r="B244" s="120" t="str">
        <f>Données!B244</f>
        <v>Treytorrens (Payerne)</v>
      </c>
      <c r="C244" s="249">
        <f>Données!C244</f>
        <v>108</v>
      </c>
      <c r="D244" s="246">
        <f>RFS!W244</f>
        <v>240066.56269005872</v>
      </c>
      <c r="E244" s="262"/>
      <c r="F244" s="268">
        <f t="shared" si="27"/>
        <v>2222.8385434264696</v>
      </c>
      <c r="G244" s="262">
        <f t="shared" si="34"/>
        <v>-1205.5534607274158</v>
      </c>
      <c r="H244" s="269">
        <f t="shared" si="28"/>
        <v>-104159.81900684873</v>
      </c>
      <c r="I244" s="241"/>
      <c r="J244" s="233">
        <f t="shared" si="31"/>
        <v>3187.2813120084024</v>
      </c>
      <c r="K244" s="262">
        <f t="shared" si="29"/>
        <v>0</v>
      </c>
      <c r="L244" s="269">
        <f t="shared" si="32"/>
        <v>0</v>
      </c>
      <c r="M244" s="262"/>
      <c r="N244" s="271">
        <f>Données!S244</f>
        <v>3052.5</v>
      </c>
      <c r="O244" s="271">
        <f>Données!T244</f>
        <v>32</v>
      </c>
      <c r="P244" s="271">
        <f>Données!U244</f>
        <v>14511.45</v>
      </c>
      <c r="Q244" s="246">
        <f>Données!V244</f>
        <v>0</v>
      </c>
      <c r="R244" s="233">
        <f t="shared" si="30"/>
        <v>8797.9750000000004</v>
      </c>
      <c r="S244" s="250">
        <f t="shared" si="35"/>
        <v>-21312.189758072542</v>
      </c>
      <c r="T244" s="251">
        <f t="shared" si="33"/>
        <v>-12514.214758072541</v>
      </c>
    </row>
    <row r="245" spans="1:20" x14ac:dyDescent="0.25">
      <c r="A245" s="108">
        <f>Données!A245</f>
        <v>5830</v>
      </c>
      <c r="B245" s="120" t="str">
        <f>Données!B245</f>
        <v>Villarzel</v>
      </c>
      <c r="C245" s="249">
        <f>Données!C245</f>
        <v>522</v>
      </c>
      <c r="D245" s="246">
        <f>RFS!W245</f>
        <v>952325.14001039113</v>
      </c>
      <c r="E245" s="262"/>
      <c r="F245" s="268">
        <f t="shared" si="27"/>
        <v>1824.3776628551554</v>
      </c>
      <c r="G245" s="262">
        <f t="shared" si="34"/>
        <v>-1604.01434129873</v>
      </c>
      <c r="H245" s="269">
        <f t="shared" si="28"/>
        <v>-669836.38892634958</v>
      </c>
      <c r="I245" s="241"/>
      <c r="J245" s="233">
        <f t="shared" si="31"/>
        <v>3107.5891358941394</v>
      </c>
      <c r="K245" s="262">
        <f t="shared" si="29"/>
        <v>0</v>
      </c>
      <c r="L245" s="269">
        <f t="shared" si="32"/>
        <v>0</v>
      </c>
      <c r="M245" s="262"/>
      <c r="N245" s="271">
        <f>Données!S245</f>
        <v>70932.3</v>
      </c>
      <c r="O245" s="271">
        <f>Données!T245</f>
        <v>0</v>
      </c>
      <c r="P245" s="271">
        <f>Données!U245</f>
        <v>30170.15</v>
      </c>
      <c r="Q245" s="246">
        <f>Données!V245</f>
        <v>6245.55</v>
      </c>
      <c r="R245" s="233">
        <f t="shared" si="30"/>
        <v>52424.890000000007</v>
      </c>
      <c r="S245" s="250">
        <f t="shared" si="35"/>
        <v>-103008.91716401729</v>
      </c>
      <c r="T245" s="251">
        <f t="shared" si="33"/>
        <v>-50584.02716401728</v>
      </c>
    </row>
    <row r="246" spans="1:20" x14ac:dyDescent="0.25">
      <c r="A246" s="108">
        <f>Données!A246</f>
        <v>5831</v>
      </c>
      <c r="B246" s="120" t="str">
        <f>Données!B246</f>
        <v>Valbroye</v>
      </c>
      <c r="C246" s="249">
        <f>Données!C246</f>
        <v>3416</v>
      </c>
      <c r="D246" s="246">
        <f>RFS!W246</f>
        <v>6524287.6024200218</v>
      </c>
      <c r="E246" s="262"/>
      <c r="F246" s="268">
        <f t="shared" si="27"/>
        <v>1909.9202583196784</v>
      </c>
      <c r="G246" s="262">
        <f t="shared" si="34"/>
        <v>-1518.471745834207</v>
      </c>
      <c r="H246" s="269">
        <f t="shared" si="28"/>
        <v>-4149679.5870157205</v>
      </c>
      <c r="I246" s="241"/>
      <c r="J246" s="233">
        <f t="shared" si="31"/>
        <v>3124.6976549870442</v>
      </c>
      <c r="K246" s="262">
        <f t="shared" si="29"/>
        <v>0</v>
      </c>
      <c r="L246" s="269">
        <f t="shared" si="32"/>
        <v>0</v>
      </c>
      <c r="M246" s="262"/>
      <c r="N246" s="271">
        <f>Données!S246</f>
        <v>263375.8</v>
      </c>
      <c r="O246" s="271">
        <f>Données!T246</f>
        <v>25884.6</v>
      </c>
      <c r="P246" s="271">
        <f>Données!U246</f>
        <v>178840.55</v>
      </c>
      <c r="Q246" s="246">
        <f>Données!V246</f>
        <v>52345.2</v>
      </c>
      <c r="R246" s="233">
        <f t="shared" si="30"/>
        <v>249754.03499999997</v>
      </c>
      <c r="S246" s="250">
        <f t="shared" si="35"/>
        <v>-674096.66864422045</v>
      </c>
      <c r="T246" s="251">
        <f t="shared" si="33"/>
        <v>-424342.63364422048</v>
      </c>
    </row>
    <row r="247" spans="1:20" x14ac:dyDescent="0.25">
      <c r="A247" s="108">
        <f>Données!A247</f>
        <v>5841</v>
      </c>
      <c r="B247" s="120" t="str">
        <f>Données!B247</f>
        <v>Château-d'Oex</v>
      </c>
      <c r="C247" s="249">
        <f>Données!C247</f>
        <v>3689</v>
      </c>
      <c r="D247" s="246">
        <f>RFS!W247</f>
        <v>9309469.8874500096</v>
      </c>
      <c r="E247" s="262"/>
      <c r="F247" s="268">
        <f t="shared" si="27"/>
        <v>2523.5754642043939</v>
      </c>
      <c r="G247" s="262">
        <f t="shared" si="34"/>
        <v>-904.81653994949147</v>
      </c>
      <c r="H247" s="269">
        <f t="shared" si="28"/>
        <v>-2670294.5726989396</v>
      </c>
      <c r="I247" s="241"/>
      <c r="J247" s="233">
        <f t="shared" si="31"/>
        <v>3247.4286961639873</v>
      </c>
      <c r="K247" s="262">
        <f t="shared" si="29"/>
        <v>0</v>
      </c>
      <c r="L247" s="269">
        <f t="shared" si="32"/>
        <v>0</v>
      </c>
      <c r="M247" s="262"/>
      <c r="N247" s="271">
        <f>Données!S247</f>
        <v>527569.05000000005</v>
      </c>
      <c r="O247" s="271">
        <f>Données!T247</f>
        <v>528079</v>
      </c>
      <c r="P247" s="271">
        <f>Données!U247</f>
        <v>542062</v>
      </c>
      <c r="Q247" s="246">
        <f>Données!V247</f>
        <v>11865.95</v>
      </c>
      <c r="R247" s="233">
        <f t="shared" si="30"/>
        <v>802414.81</v>
      </c>
      <c r="S247" s="250">
        <f t="shared" si="35"/>
        <v>-727969.14831045934</v>
      </c>
      <c r="T247" s="251">
        <f t="shared" si="33"/>
        <v>74445.661689540721</v>
      </c>
    </row>
    <row r="248" spans="1:20" x14ac:dyDescent="0.25">
      <c r="A248" s="108">
        <f>Données!A248</f>
        <v>5842</v>
      </c>
      <c r="B248" s="120" t="str">
        <f>Données!B248</f>
        <v>Rossinière</v>
      </c>
      <c r="C248" s="249">
        <f>Données!C248</f>
        <v>504</v>
      </c>
      <c r="D248" s="246">
        <f>RFS!W248</f>
        <v>1067662.025680671</v>
      </c>
      <c r="E248" s="262"/>
      <c r="F248" s="268">
        <f t="shared" si="27"/>
        <v>2118.3770350806963</v>
      </c>
      <c r="G248" s="262">
        <f t="shared" si="34"/>
        <v>-1310.0149690731891</v>
      </c>
      <c r="H248" s="269">
        <f t="shared" si="28"/>
        <v>-528198.03553030989</v>
      </c>
      <c r="I248" s="241"/>
      <c r="J248" s="233">
        <f t="shared" si="31"/>
        <v>3166.3890103392478</v>
      </c>
      <c r="K248" s="262">
        <f t="shared" si="29"/>
        <v>0</v>
      </c>
      <c r="L248" s="269">
        <f t="shared" si="32"/>
        <v>0</v>
      </c>
      <c r="M248" s="262"/>
      <c r="N248" s="271">
        <f>Données!S248</f>
        <v>66709.899999999994</v>
      </c>
      <c r="O248" s="271">
        <f>Données!T248</f>
        <v>79214.5</v>
      </c>
      <c r="P248" s="271">
        <f>Données!U248</f>
        <v>62810.35</v>
      </c>
      <c r="Q248" s="246">
        <f>Données!V248</f>
        <v>0</v>
      </c>
      <c r="R248" s="233">
        <f t="shared" si="30"/>
        <v>104367.375</v>
      </c>
      <c r="S248" s="250">
        <f t="shared" si="35"/>
        <v>-99456.885537671857</v>
      </c>
      <c r="T248" s="251">
        <f t="shared" si="33"/>
        <v>4910.4894623281434</v>
      </c>
    </row>
    <row r="249" spans="1:20" x14ac:dyDescent="0.25">
      <c r="A249" s="108">
        <f>Données!A249</f>
        <v>5843</v>
      </c>
      <c r="B249" s="120" t="str">
        <f>Données!B249</f>
        <v>Rougemont</v>
      </c>
      <c r="C249" s="249">
        <f>Données!C249</f>
        <v>805</v>
      </c>
      <c r="D249" s="246">
        <f>RFS!W249</f>
        <v>6340676.666904673</v>
      </c>
      <c r="E249" s="262"/>
      <c r="F249" s="268">
        <f t="shared" si="27"/>
        <v>7876.616977521333</v>
      </c>
      <c r="G249" s="262">
        <f t="shared" si="34"/>
        <v>4448.2249733674471</v>
      </c>
      <c r="H249" s="269">
        <f t="shared" si="28"/>
        <v>2864656.8828486362</v>
      </c>
      <c r="I249" s="241"/>
      <c r="J249" s="233">
        <f t="shared" si="31"/>
        <v>4318.0369988273751</v>
      </c>
      <c r="K249" s="262">
        <f t="shared" si="29"/>
        <v>0</v>
      </c>
      <c r="L249" s="269">
        <f t="shared" si="32"/>
        <v>0</v>
      </c>
      <c r="M249" s="262"/>
      <c r="N249" s="271">
        <f>Données!S249</f>
        <v>757349.85</v>
      </c>
      <c r="O249" s="271">
        <f>Données!T249</f>
        <v>277716</v>
      </c>
      <c r="P249" s="271">
        <f>Données!U249</f>
        <v>965300</v>
      </c>
      <c r="Q249" s="246">
        <f>Données!V249</f>
        <v>14723.1</v>
      </c>
      <c r="R249" s="233">
        <f t="shared" si="30"/>
        <v>1004599.8550000001</v>
      </c>
      <c r="S249" s="250">
        <f t="shared" si="35"/>
        <v>-158854.74773378143</v>
      </c>
      <c r="T249" s="251">
        <f t="shared" si="33"/>
        <v>845745.10726621863</v>
      </c>
    </row>
    <row r="250" spans="1:20" x14ac:dyDescent="0.25">
      <c r="A250" s="108">
        <f>Données!A250</f>
        <v>5851</v>
      </c>
      <c r="B250" s="120" t="str">
        <f>Données!B250</f>
        <v>Allaman</v>
      </c>
      <c r="C250" s="249">
        <f>Données!C250</f>
        <v>412</v>
      </c>
      <c r="D250" s="246">
        <f>RFS!W250</f>
        <v>1838577.8141895842</v>
      </c>
      <c r="E250" s="262"/>
      <c r="F250" s="268">
        <f t="shared" si="27"/>
        <v>4462.5675101688939</v>
      </c>
      <c r="G250" s="262">
        <f t="shared" si="34"/>
        <v>1034.1755060150085</v>
      </c>
      <c r="H250" s="269">
        <f t="shared" si="28"/>
        <v>340864.24678254686</v>
      </c>
      <c r="I250" s="241"/>
      <c r="J250" s="233">
        <f t="shared" si="31"/>
        <v>3635.227105356887</v>
      </c>
      <c r="K250" s="262">
        <f t="shared" si="29"/>
        <v>0</v>
      </c>
      <c r="L250" s="269">
        <f t="shared" si="32"/>
        <v>0</v>
      </c>
      <c r="M250" s="262"/>
      <c r="N250" s="271">
        <f>Données!S250</f>
        <v>88000</v>
      </c>
      <c r="O250" s="271">
        <f>Données!T250</f>
        <v>180933.8</v>
      </c>
      <c r="P250" s="271">
        <f>Données!U250</f>
        <v>0</v>
      </c>
      <c r="Q250" s="246">
        <f>Données!V250</f>
        <v>50231.25</v>
      </c>
      <c r="R250" s="233">
        <f t="shared" si="30"/>
        <v>149536.27499999999</v>
      </c>
      <c r="S250" s="250">
        <f t="shared" si="35"/>
        <v>-81302.057225239696</v>
      </c>
      <c r="T250" s="251">
        <f t="shared" si="33"/>
        <v>68234.217774760298</v>
      </c>
    </row>
    <row r="251" spans="1:20" x14ac:dyDescent="0.25">
      <c r="A251" s="108">
        <f>Données!A251</f>
        <v>5852</v>
      </c>
      <c r="B251" s="120" t="str">
        <f>Données!B251</f>
        <v>Bursinel</v>
      </c>
      <c r="C251" s="249">
        <f>Données!C251</f>
        <v>535</v>
      </c>
      <c r="D251" s="246">
        <f>RFS!W251</f>
        <v>3180238.523798123</v>
      </c>
      <c r="E251" s="262"/>
      <c r="F251" s="268">
        <f t="shared" si="27"/>
        <v>5944.3710725198562</v>
      </c>
      <c r="G251" s="262">
        <f t="shared" si="34"/>
        <v>2515.9790683659708</v>
      </c>
      <c r="H251" s="269">
        <f t="shared" si="28"/>
        <v>1076839.0412606355</v>
      </c>
      <c r="I251" s="241"/>
      <c r="J251" s="233">
        <f t="shared" si="31"/>
        <v>3931.5878178270796</v>
      </c>
      <c r="K251" s="262">
        <f t="shared" si="29"/>
        <v>0</v>
      </c>
      <c r="L251" s="269">
        <f t="shared" si="32"/>
        <v>0</v>
      </c>
      <c r="M251" s="262"/>
      <c r="N251" s="271">
        <f>Données!S251</f>
        <v>155760</v>
      </c>
      <c r="O251" s="271">
        <f>Données!T251</f>
        <v>0</v>
      </c>
      <c r="P251" s="271">
        <f>Données!U251</f>
        <v>64723.65</v>
      </c>
      <c r="Q251" s="246">
        <f>Données!V251</f>
        <v>11915.25</v>
      </c>
      <c r="R251" s="233">
        <f t="shared" si="30"/>
        <v>113816.4</v>
      </c>
      <c r="S251" s="250">
        <f t="shared" si="35"/>
        <v>-105574.27333860009</v>
      </c>
      <c r="T251" s="251">
        <f t="shared" si="33"/>
        <v>8242.1266613999032</v>
      </c>
    </row>
    <row r="252" spans="1:20" x14ac:dyDescent="0.25">
      <c r="A252" s="108">
        <f>Données!A252</f>
        <v>5853</v>
      </c>
      <c r="B252" s="120" t="str">
        <f>Données!B252</f>
        <v>Bursins</v>
      </c>
      <c r="C252" s="249">
        <f>Données!C252</f>
        <v>831</v>
      </c>
      <c r="D252" s="246">
        <f>RFS!W252</f>
        <v>3071532.4280397645</v>
      </c>
      <c r="E252" s="262"/>
      <c r="F252" s="268">
        <f t="shared" si="27"/>
        <v>3696.1882407217381</v>
      </c>
      <c r="G252" s="262">
        <f t="shared" si="34"/>
        <v>267.7962365678527</v>
      </c>
      <c r="H252" s="269">
        <f t="shared" si="28"/>
        <v>178030.9380703085</v>
      </c>
      <c r="I252" s="241"/>
      <c r="J252" s="233">
        <f t="shared" si="31"/>
        <v>3481.9512514674561</v>
      </c>
      <c r="K252" s="262">
        <f t="shared" si="29"/>
        <v>0</v>
      </c>
      <c r="L252" s="269">
        <f t="shared" si="32"/>
        <v>0</v>
      </c>
      <c r="M252" s="262"/>
      <c r="N252" s="271">
        <f>Données!S252</f>
        <v>148614.25</v>
      </c>
      <c r="O252" s="271">
        <f>Données!T252</f>
        <v>6077.2</v>
      </c>
      <c r="P252" s="271">
        <f>Données!U252</f>
        <v>235430.55</v>
      </c>
      <c r="Q252" s="246">
        <f>Données!V252</f>
        <v>120423.95</v>
      </c>
      <c r="R252" s="233">
        <f t="shared" si="30"/>
        <v>231188.185</v>
      </c>
      <c r="S252" s="250">
        <f t="shared" si="35"/>
        <v>-163985.46008294707</v>
      </c>
      <c r="T252" s="251">
        <f t="shared" si="33"/>
        <v>67202.724917052925</v>
      </c>
    </row>
    <row r="253" spans="1:20" x14ac:dyDescent="0.25">
      <c r="A253" s="108">
        <f>Données!A253</f>
        <v>5854</v>
      </c>
      <c r="B253" s="120" t="str">
        <f>Données!B253</f>
        <v>Burtigny</v>
      </c>
      <c r="C253" s="249">
        <f>Données!C253</f>
        <v>406</v>
      </c>
      <c r="D253" s="246">
        <f>RFS!W253</f>
        <v>1030620.2719667213</v>
      </c>
      <c r="E253" s="262"/>
      <c r="F253" s="268">
        <f t="shared" si="27"/>
        <v>2538.4735762727123</v>
      </c>
      <c r="G253" s="262">
        <f t="shared" si="34"/>
        <v>-889.9184278811731</v>
      </c>
      <c r="H253" s="269">
        <f t="shared" si="28"/>
        <v>-289045.50537580502</v>
      </c>
      <c r="I253" s="241"/>
      <c r="J253" s="233">
        <f t="shared" si="31"/>
        <v>3250.4083185776508</v>
      </c>
      <c r="K253" s="262">
        <f t="shared" si="29"/>
        <v>0</v>
      </c>
      <c r="L253" s="269">
        <f t="shared" si="32"/>
        <v>0</v>
      </c>
      <c r="M253" s="262"/>
      <c r="N253" s="271">
        <f>Données!S253</f>
        <v>48954.1</v>
      </c>
      <c r="O253" s="271">
        <f>Données!T253</f>
        <v>0</v>
      </c>
      <c r="P253" s="271">
        <f>Données!U253</f>
        <v>35153.85</v>
      </c>
      <c r="Q253" s="246">
        <f>Données!V253</f>
        <v>13589.8</v>
      </c>
      <c r="R253" s="233">
        <f t="shared" si="30"/>
        <v>46130.915000000001</v>
      </c>
      <c r="S253" s="250">
        <f t="shared" si="35"/>
        <v>-80118.046683124558</v>
      </c>
      <c r="T253" s="251">
        <f t="shared" si="33"/>
        <v>-33987.131683124557</v>
      </c>
    </row>
    <row r="254" spans="1:20" x14ac:dyDescent="0.25">
      <c r="A254" s="108">
        <f>Données!A254</f>
        <v>5855</v>
      </c>
      <c r="B254" s="120" t="str">
        <f>Données!B254</f>
        <v>Dully</v>
      </c>
      <c r="C254" s="249">
        <f>Données!C254</f>
        <v>637</v>
      </c>
      <c r="D254" s="246">
        <f>RFS!W254</f>
        <v>6678763.6886752164</v>
      </c>
      <c r="E254" s="262"/>
      <c r="F254" s="268">
        <f t="shared" si="27"/>
        <v>10484.715366837074</v>
      </c>
      <c r="G254" s="262">
        <f t="shared" si="34"/>
        <v>7056.323362683188</v>
      </c>
      <c r="H254" s="269">
        <f t="shared" si="28"/>
        <v>3595902.3856233526</v>
      </c>
      <c r="I254" s="241"/>
      <c r="J254" s="233">
        <f t="shared" si="31"/>
        <v>4839.6566766905244</v>
      </c>
      <c r="K254" s="262">
        <f t="shared" si="29"/>
        <v>0</v>
      </c>
      <c r="L254" s="269">
        <f t="shared" si="32"/>
        <v>0</v>
      </c>
      <c r="M254" s="262"/>
      <c r="N254" s="271">
        <f>Données!S254</f>
        <v>190740</v>
      </c>
      <c r="O254" s="271">
        <f>Données!T254</f>
        <v>0</v>
      </c>
      <c r="P254" s="271">
        <f>Données!U254</f>
        <v>284589.59999999998</v>
      </c>
      <c r="Q254" s="246">
        <f>Données!V254</f>
        <v>5621.05</v>
      </c>
      <c r="R254" s="233">
        <f t="shared" si="30"/>
        <v>239351.11499999999</v>
      </c>
      <c r="S254" s="250">
        <f t="shared" si="35"/>
        <v>-125702.45255455749</v>
      </c>
      <c r="T254" s="251">
        <f t="shared" si="33"/>
        <v>113648.6624454425</v>
      </c>
    </row>
    <row r="255" spans="1:20" x14ac:dyDescent="0.25">
      <c r="A255" s="108">
        <f>Données!A255</f>
        <v>5856</v>
      </c>
      <c r="B255" s="120" t="str">
        <f>Données!B255</f>
        <v>Essertines-sur-Rolle</v>
      </c>
      <c r="C255" s="249">
        <f>Données!C255</f>
        <v>770</v>
      </c>
      <c r="D255" s="246">
        <f>RFS!W255</f>
        <v>2854710.6308522024</v>
      </c>
      <c r="E255" s="262"/>
      <c r="F255" s="268">
        <f t="shared" si="27"/>
        <v>3707.4164037041592</v>
      </c>
      <c r="G255" s="262">
        <f t="shared" si="34"/>
        <v>279.02439955027376</v>
      </c>
      <c r="H255" s="269">
        <f t="shared" si="28"/>
        <v>171879.03012296863</v>
      </c>
      <c r="I255" s="241"/>
      <c r="J255" s="233">
        <f t="shared" si="31"/>
        <v>3484.1968840639397</v>
      </c>
      <c r="K255" s="262">
        <f t="shared" si="29"/>
        <v>0</v>
      </c>
      <c r="L255" s="269">
        <f t="shared" si="32"/>
        <v>0</v>
      </c>
      <c r="M255" s="262"/>
      <c r="N255" s="271">
        <f>Données!S255</f>
        <v>60500</v>
      </c>
      <c r="O255" s="271">
        <f>Données!T255</f>
        <v>205.3</v>
      </c>
      <c r="P255" s="271">
        <f>Données!U255</f>
        <v>60140.95</v>
      </c>
      <c r="Q255" s="246">
        <f>Données!V255</f>
        <v>1382.45</v>
      </c>
      <c r="R255" s="233">
        <f t="shared" si="30"/>
        <v>60837.86</v>
      </c>
      <c r="S255" s="250">
        <f t="shared" si="35"/>
        <v>-151948.01957144312</v>
      </c>
      <c r="T255" s="251">
        <f t="shared" si="33"/>
        <v>-91110.159571443117</v>
      </c>
    </row>
    <row r="256" spans="1:20" x14ac:dyDescent="0.25">
      <c r="A256" s="108">
        <f>Données!A256</f>
        <v>5857</v>
      </c>
      <c r="B256" s="120" t="str">
        <f>Données!B256</f>
        <v>Gilly</v>
      </c>
      <c r="C256" s="249">
        <f>Données!C256</f>
        <v>1429</v>
      </c>
      <c r="D256" s="246">
        <f>RFS!W256</f>
        <v>6544255.3199841827</v>
      </c>
      <c r="E256" s="262"/>
      <c r="F256" s="268">
        <f t="shared" si="27"/>
        <v>4579.6048425361669</v>
      </c>
      <c r="G256" s="262">
        <f t="shared" si="34"/>
        <v>1151.2128383822815</v>
      </c>
      <c r="H256" s="269">
        <f t="shared" si="28"/>
        <v>1316066.5168386241</v>
      </c>
      <c r="I256" s="241"/>
      <c r="J256" s="233">
        <f t="shared" si="31"/>
        <v>3658.6345718303419</v>
      </c>
      <c r="K256" s="262">
        <f t="shared" si="29"/>
        <v>0</v>
      </c>
      <c r="L256" s="269">
        <f t="shared" si="32"/>
        <v>0</v>
      </c>
      <c r="M256" s="262"/>
      <c r="N256" s="271">
        <f>Données!S256</f>
        <v>232631.85</v>
      </c>
      <c r="O256" s="271">
        <f>Données!T256</f>
        <v>32471.200000000001</v>
      </c>
      <c r="P256" s="271">
        <f>Données!U256</f>
        <v>229944.85</v>
      </c>
      <c r="Q256" s="246">
        <f>Données!V256</f>
        <v>83329.350000000006</v>
      </c>
      <c r="R256" s="233">
        <f t="shared" si="30"/>
        <v>272522.755</v>
      </c>
      <c r="S256" s="250">
        <f t="shared" si="35"/>
        <v>-281991.84411375615</v>
      </c>
      <c r="T256" s="251">
        <f t="shared" si="33"/>
        <v>-9469.0891137561412</v>
      </c>
    </row>
    <row r="257" spans="1:20" x14ac:dyDescent="0.25">
      <c r="A257" s="108">
        <f>Données!A257</f>
        <v>5858</v>
      </c>
      <c r="B257" s="120" t="str">
        <f>Données!B257</f>
        <v>Luins</v>
      </c>
      <c r="C257" s="249">
        <f>Données!C257</f>
        <v>640</v>
      </c>
      <c r="D257" s="246">
        <f>RFS!W257</f>
        <v>2482844.0541333831</v>
      </c>
      <c r="E257" s="262"/>
      <c r="F257" s="268">
        <f t="shared" si="27"/>
        <v>3879.443834583411</v>
      </c>
      <c r="G257" s="262">
        <f t="shared" si="34"/>
        <v>451.05183042952558</v>
      </c>
      <c r="H257" s="269">
        <f t="shared" si="28"/>
        <v>230938.5371799171</v>
      </c>
      <c r="I257" s="241"/>
      <c r="J257" s="233">
        <f t="shared" si="31"/>
        <v>3518.6023702397906</v>
      </c>
      <c r="K257" s="262">
        <f t="shared" si="29"/>
        <v>0</v>
      </c>
      <c r="L257" s="269">
        <f t="shared" si="32"/>
        <v>0</v>
      </c>
      <c r="M257" s="262"/>
      <c r="N257" s="271">
        <f>Données!S257</f>
        <v>268802.09999999998</v>
      </c>
      <c r="O257" s="271">
        <f>Données!T257</f>
        <v>0</v>
      </c>
      <c r="P257" s="271">
        <f>Données!U257</f>
        <v>201946.25</v>
      </c>
      <c r="Q257" s="246">
        <f>Données!V257</f>
        <v>6228.5</v>
      </c>
      <c r="R257" s="233">
        <f t="shared" si="30"/>
        <v>237242.72499999998</v>
      </c>
      <c r="S257" s="250">
        <f t="shared" si="35"/>
        <v>-126294.45782561507</v>
      </c>
      <c r="T257" s="251">
        <f t="shared" si="33"/>
        <v>110948.26717438491</v>
      </c>
    </row>
    <row r="258" spans="1:20" x14ac:dyDescent="0.25">
      <c r="A258" s="108">
        <f>Données!A258</f>
        <v>5859</v>
      </c>
      <c r="B258" s="120" t="str">
        <f>Données!B258</f>
        <v>Mont-sur-Rolle</v>
      </c>
      <c r="C258" s="249">
        <f>Données!C258</f>
        <v>2759</v>
      </c>
      <c r="D258" s="246">
        <f>RFS!W258</f>
        <v>12556069.18914343</v>
      </c>
      <c r="E258" s="262"/>
      <c r="F258" s="268">
        <f t="shared" si="27"/>
        <v>4550.9493255322332</v>
      </c>
      <c r="G258" s="262">
        <f t="shared" si="34"/>
        <v>1122.5573213783478</v>
      </c>
      <c r="H258" s="269">
        <f t="shared" si="28"/>
        <v>2477708.5197462891</v>
      </c>
      <c r="I258" s="241"/>
      <c r="J258" s="233">
        <f t="shared" si="31"/>
        <v>3652.9034684295548</v>
      </c>
      <c r="K258" s="262">
        <f t="shared" si="29"/>
        <v>0</v>
      </c>
      <c r="L258" s="269">
        <f t="shared" si="32"/>
        <v>0</v>
      </c>
      <c r="M258" s="262"/>
      <c r="N258" s="271">
        <f>Données!S258</f>
        <v>686344.2</v>
      </c>
      <c r="O258" s="271">
        <f>Données!T258</f>
        <v>118734.2</v>
      </c>
      <c r="P258" s="271">
        <f>Données!U258</f>
        <v>392513.9</v>
      </c>
      <c r="Q258" s="246">
        <f>Données!V258</f>
        <v>122944.4</v>
      </c>
      <c r="R258" s="233">
        <f t="shared" si="30"/>
        <v>635679.46999999986</v>
      </c>
      <c r="S258" s="250">
        <f t="shared" si="35"/>
        <v>-544447.51428261248</v>
      </c>
      <c r="T258" s="251">
        <f t="shared" si="33"/>
        <v>91231.955717387376</v>
      </c>
    </row>
    <row r="259" spans="1:20" x14ac:dyDescent="0.25">
      <c r="A259" s="108">
        <f>Données!A259</f>
        <v>5860</v>
      </c>
      <c r="B259" s="120" t="str">
        <f>Données!B259</f>
        <v>Perroy</v>
      </c>
      <c r="C259" s="249">
        <f>Données!C259</f>
        <v>1573</v>
      </c>
      <c r="D259" s="246">
        <f>RFS!W259</f>
        <v>7929089.2661633417</v>
      </c>
      <c r="E259" s="262"/>
      <c r="F259" s="268">
        <f t="shared" si="27"/>
        <v>5040.7433351324489</v>
      </c>
      <c r="G259" s="262">
        <f t="shared" si="34"/>
        <v>1612.3513309785635</v>
      </c>
      <c r="H259" s="269">
        <f t="shared" si="28"/>
        <v>2028982.9149034244</v>
      </c>
      <c r="I259" s="241"/>
      <c r="J259" s="233">
        <f t="shared" si="31"/>
        <v>3750.8622703495976</v>
      </c>
      <c r="K259" s="262">
        <f t="shared" si="29"/>
        <v>0</v>
      </c>
      <c r="L259" s="269">
        <f t="shared" si="32"/>
        <v>0</v>
      </c>
      <c r="M259" s="262"/>
      <c r="N259" s="271">
        <f>Données!S259</f>
        <v>249486.2</v>
      </c>
      <c r="O259" s="271">
        <f>Données!T259</f>
        <v>37557.5</v>
      </c>
      <c r="P259" s="271">
        <f>Données!U259</f>
        <v>160927.75</v>
      </c>
      <c r="Q259" s="246">
        <f>Données!V259</f>
        <v>53594.5</v>
      </c>
      <c r="R259" s="233">
        <f t="shared" si="30"/>
        <v>240064.07500000001</v>
      </c>
      <c r="S259" s="250">
        <f t="shared" si="35"/>
        <v>-310408.09712451953</v>
      </c>
      <c r="T259" s="251">
        <f t="shared" si="33"/>
        <v>-70344.022124519513</v>
      </c>
    </row>
    <row r="260" spans="1:20" x14ac:dyDescent="0.25">
      <c r="A260" s="108">
        <f>Données!A260</f>
        <v>5861</v>
      </c>
      <c r="B260" s="120" t="str">
        <f>Données!B260</f>
        <v>Rolle</v>
      </c>
      <c r="C260" s="249">
        <f>Données!C260</f>
        <v>6604</v>
      </c>
      <c r="D260" s="246">
        <f>RFS!W260</f>
        <v>57114803.495702326</v>
      </c>
      <c r="E260" s="262"/>
      <c r="F260" s="268">
        <f t="shared" si="27"/>
        <v>8648.5165802093161</v>
      </c>
      <c r="G260" s="262">
        <f t="shared" si="34"/>
        <v>5220.1245760554302</v>
      </c>
      <c r="H260" s="269">
        <f t="shared" si="28"/>
        <v>27578962.160216052</v>
      </c>
      <c r="I260" s="241"/>
      <c r="J260" s="233">
        <f t="shared" si="31"/>
        <v>4472.4169193649723</v>
      </c>
      <c r="K260" s="262">
        <f t="shared" si="29"/>
        <v>0</v>
      </c>
      <c r="L260" s="269">
        <f t="shared" si="32"/>
        <v>0</v>
      </c>
      <c r="M260" s="262"/>
      <c r="N260" s="271">
        <f>Données!S260</f>
        <v>1329596.2</v>
      </c>
      <c r="O260" s="271">
        <f>Données!T260</f>
        <v>454951</v>
      </c>
      <c r="P260" s="271">
        <f>Données!U260</f>
        <v>1072925.45</v>
      </c>
      <c r="Q260" s="246">
        <f>Données!V260</f>
        <v>552070</v>
      </c>
      <c r="R260" s="233">
        <f t="shared" si="30"/>
        <v>1594357.325</v>
      </c>
      <c r="S260" s="250">
        <f t="shared" si="35"/>
        <v>-1303200.9366880655</v>
      </c>
      <c r="T260" s="251">
        <f t="shared" si="33"/>
        <v>291156.38831193442</v>
      </c>
    </row>
    <row r="261" spans="1:20" x14ac:dyDescent="0.25">
      <c r="A261" s="108">
        <f>Données!A261</f>
        <v>5862</v>
      </c>
      <c r="B261" s="120" t="str">
        <f>Données!B261</f>
        <v>Tartegnin</v>
      </c>
      <c r="C261" s="249">
        <f>Données!C261</f>
        <v>246</v>
      </c>
      <c r="D261" s="246">
        <f>RFS!W261</f>
        <v>741047.68906408432</v>
      </c>
      <c r="E261" s="262"/>
      <c r="F261" s="268">
        <f t="shared" ref="F261:F301" si="36">D261/C261</f>
        <v>3012.3889799353019</v>
      </c>
      <c r="G261" s="262">
        <f t="shared" si="34"/>
        <v>-416.0030242185835</v>
      </c>
      <c r="H261" s="269">
        <f t="shared" ref="H261:H301" si="37">G261*$G$6*C261</f>
        <v>-81869.395166217233</v>
      </c>
      <c r="I261" s="241"/>
      <c r="J261" s="233">
        <f t="shared" si="31"/>
        <v>3345.1913993101689</v>
      </c>
      <c r="K261" s="262">
        <f t="shared" ref="K261:K301" si="38">IF(J261&lt;$J$6,J261-($J$6),0)</f>
        <v>0</v>
      </c>
      <c r="L261" s="269">
        <f t="shared" si="32"/>
        <v>0</v>
      </c>
      <c r="M261" s="262"/>
      <c r="N261" s="271">
        <f>Données!S261</f>
        <v>20790</v>
      </c>
      <c r="O261" s="271">
        <f>Données!T261</f>
        <v>822.6</v>
      </c>
      <c r="P261" s="271">
        <f>Données!U261</f>
        <v>11378.4</v>
      </c>
      <c r="Q261" s="246">
        <f>Données!V261</f>
        <v>3880.75</v>
      </c>
      <c r="R261" s="233">
        <f t="shared" ref="R261:R301" si="39">SUMPRODUCT($N$6:$Q$6,N261:Q261)</f>
        <v>17659.724999999999</v>
      </c>
      <c r="S261" s="250">
        <f t="shared" si="35"/>
        <v>-48544.43222672079</v>
      </c>
      <c r="T261" s="251">
        <f t="shared" si="33"/>
        <v>-30884.707226720791</v>
      </c>
    </row>
    <row r="262" spans="1:20" x14ac:dyDescent="0.25">
      <c r="A262" s="108">
        <f>Données!A262</f>
        <v>5863</v>
      </c>
      <c r="B262" s="120" t="str">
        <f>Données!B262</f>
        <v>Vinzel</v>
      </c>
      <c r="C262" s="249">
        <f>Données!C262</f>
        <v>385</v>
      </c>
      <c r="D262" s="246">
        <f>RFS!W262</f>
        <v>1486834.1470592518</v>
      </c>
      <c r="E262" s="262"/>
      <c r="F262" s="268">
        <f t="shared" si="36"/>
        <v>3861.9068754785762</v>
      </c>
      <c r="G262" s="262">
        <f t="shared" si="34"/>
        <v>433.51487132469083</v>
      </c>
      <c r="H262" s="269">
        <f t="shared" si="37"/>
        <v>133522.5803680048</v>
      </c>
      <c r="I262" s="241"/>
      <c r="J262" s="233">
        <f t="shared" ref="J262:J301" si="40">(D262-H262)/C262</f>
        <v>3515.0949784188233</v>
      </c>
      <c r="K262" s="262">
        <f t="shared" si="38"/>
        <v>0</v>
      </c>
      <c r="L262" s="269">
        <f t="shared" ref="L262:L301" si="41">ROUND(K262*C262,0)</f>
        <v>0</v>
      </c>
      <c r="M262" s="262"/>
      <c r="N262" s="271">
        <f>Données!S262</f>
        <v>51300.7</v>
      </c>
      <c r="O262" s="271">
        <f>Données!T262</f>
        <v>0</v>
      </c>
      <c r="P262" s="271">
        <f>Données!U262</f>
        <v>52269.3</v>
      </c>
      <c r="Q262" s="246">
        <f>Données!V262</f>
        <v>19084.8</v>
      </c>
      <c r="R262" s="233">
        <f t="shared" si="39"/>
        <v>57510.44</v>
      </c>
      <c r="S262" s="250">
        <f t="shared" si="35"/>
        <v>-75974.009785721559</v>
      </c>
      <c r="T262" s="251">
        <f t="shared" ref="T262:T301" si="42">R262+S262</f>
        <v>-18463.569785721556</v>
      </c>
    </row>
    <row r="263" spans="1:20" x14ac:dyDescent="0.25">
      <c r="A263" s="108">
        <f>Données!A263</f>
        <v>5940</v>
      </c>
      <c r="B263" s="120" t="str">
        <f>Données!B263</f>
        <v>La Vallée de Joux</v>
      </c>
      <c r="C263" s="249">
        <f>Données!C263</f>
        <v>7317</v>
      </c>
      <c r="D263" s="246">
        <f>RFS!W263</f>
        <v>29859432.675408278</v>
      </c>
      <c r="E263" s="262"/>
      <c r="F263" s="268">
        <f t="shared" si="36"/>
        <v>4080.8299406052038</v>
      </c>
      <c r="G263" s="262">
        <f t="shared" si="34"/>
        <v>652.43793645131836</v>
      </c>
      <c r="H263" s="269">
        <f t="shared" si="37"/>
        <v>3819110.7048114375</v>
      </c>
      <c r="I263" s="241"/>
      <c r="J263" s="233">
        <f t="shared" si="40"/>
        <v>3558.8795914441489</v>
      </c>
      <c r="K263" s="262">
        <f t="shared" si="38"/>
        <v>0</v>
      </c>
      <c r="L263" s="269">
        <f t="shared" si="41"/>
        <v>0</v>
      </c>
      <c r="M263" s="262"/>
      <c r="N263" s="271">
        <f>Données!S263</f>
        <v>519563.5</v>
      </c>
      <c r="O263" s="271">
        <f>Données!T263</f>
        <v>290416.40000000002</v>
      </c>
      <c r="P263" s="271">
        <f>Données!U263</f>
        <v>505578.1</v>
      </c>
      <c r="Q263" s="246">
        <f>Données!V263</f>
        <v>7911515.25</v>
      </c>
      <c r="R263" s="233">
        <f t="shared" si="39"/>
        <v>3031233.5749999997</v>
      </c>
      <c r="S263" s="250">
        <f t="shared" si="35"/>
        <v>-1443900.8561094147</v>
      </c>
      <c r="T263" s="251">
        <f t="shared" si="42"/>
        <v>1587332.718890585</v>
      </c>
    </row>
    <row r="264" spans="1:20" x14ac:dyDescent="0.25">
      <c r="A264" s="108">
        <f>Données!A264</f>
        <v>5882</v>
      </c>
      <c r="B264" s="120" t="str">
        <f>Données!B264</f>
        <v>Chardonne</v>
      </c>
      <c r="C264" s="249">
        <f>Données!C264</f>
        <v>3384</v>
      </c>
      <c r="D264" s="246">
        <f>RFS!W264</f>
        <v>13382502.261505757</v>
      </c>
      <c r="E264" s="262"/>
      <c r="F264" s="268">
        <f t="shared" si="36"/>
        <v>3954.6401481991006</v>
      </c>
      <c r="G264" s="262">
        <f t="shared" ref="G264:G301" si="43">F264-$F$302</f>
        <v>526.24814404521521</v>
      </c>
      <c r="H264" s="269">
        <f t="shared" si="37"/>
        <v>1424658.9755592067</v>
      </c>
      <c r="I264" s="241"/>
      <c r="J264" s="233">
        <f t="shared" si="40"/>
        <v>3533.6416329629283</v>
      </c>
      <c r="K264" s="262">
        <f t="shared" si="38"/>
        <v>0</v>
      </c>
      <c r="L264" s="269">
        <f t="shared" si="41"/>
        <v>0</v>
      </c>
      <c r="M264" s="262"/>
      <c r="N264" s="271">
        <f>Données!S264</f>
        <v>1045281.8</v>
      </c>
      <c r="O264" s="271">
        <f>Données!T264</f>
        <v>494327.8</v>
      </c>
      <c r="P264" s="271">
        <f>Données!U264</f>
        <v>498208.3</v>
      </c>
      <c r="Q264" s="246">
        <f>Données!V264</f>
        <v>22753.9</v>
      </c>
      <c r="R264" s="233">
        <f t="shared" si="39"/>
        <v>1025735.1200000001</v>
      </c>
      <c r="S264" s="250">
        <f t="shared" ref="S264:S301" si="44">-($R$302-$S$6)/$C$302*C264</f>
        <v>-667781.94575293968</v>
      </c>
      <c r="T264" s="251">
        <f t="shared" si="42"/>
        <v>357953.17424706044</v>
      </c>
    </row>
    <row r="265" spans="1:20" x14ac:dyDescent="0.25">
      <c r="A265" s="108">
        <f>Données!A265</f>
        <v>5883</v>
      </c>
      <c r="B265" s="120" t="str">
        <f>Données!B265</f>
        <v>Corseaux</v>
      </c>
      <c r="C265" s="249">
        <f>Données!C265</f>
        <v>2326</v>
      </c>
      <c r="D265" s="246">
        <f>RFS!W265</f>
        <v>13297194.898508165</v>
      </c>
      <c r="E265" s="262"/>
      <c r="F265" s="268">
        <f t="shared" si="36"/>
        <v>5716.764788696546</v>
      </c>
      <c r="G265" s="262">
        <f t="shared" si="43"/>
        <v>2288.3727845426606</v>
      </c>
      <c r="H265" s="269">
        <f t="shared" si="37"/>
        <v>4258204.077476983</v>
      </c>
      <c r="I265" s="241"/>
      <c r="J265" s="233">
        <f t="shared" si="40"/>
        <v>3886.0665610624173</v>
      </c>
      <c r="K265" s="262">
        <f t="shared" si="38"/>
        <v>0</v>
      </c>
      <c r="L265" s="269">
        <f t="shared" si="41"/>
        <v>0</v>
      </c>
      <c r="M265" s="262"/>
      <c r="N265" s="271">
        <f>Données!S265</f>
        <v>667868.85</v>
      </c>
      <c r="O265" s="271">
        <f>Données!T265</f>
        <v>135276.29999999999</v>
      </c>
      <c r="P265" s="271">
        <f>Données!U265</f>
        <v>465909.15</v>
      </c>
      <c r="Q265" s="246">
        <f>Données!V265</f>
        <v>8048.45</v>
      </c>
      <c r="R265" s="233">
        <f t="shared" si="39"/>
        <v>636941.68499999994</v>
      </c>
      <c r="S265" s="250">
        <f t="shared" si="44"/>
        <v>-459001.42015996977</v>
      </c>
      <c r="T265" s="251">
        <f t="shared" si="42"/>
        <v>177940.26484003017</v>
      </c>
    </row>
    <row r="266" spans="1:20" x14ac:dyDescent="0.25">
      <c r="A266" s="108">
        <f>Données!A266</f>
        <v>5884</v>
      </c>
      <c r="B266" s="120" t="str">
        <f>Données!B266</f>
        <v>Corsier-sur-Vevey</v>
      </c>
      <c r="C266" s="249">
        <f>Données!C266</f>
        <v>3458</v>
      </c>
      <c r="D266" s="246">
        <f>RFS!W266</f>
        <v>13881645.252008986</v>
      </c>
      <c r="E266" s="262"/>
      <c r="F266" s="268">
        <f t="shared" si="36"/>
        <v>4014.3566373652361</v>
      </c>
      <c r="G266" s="262">
        <f t="shared" si="43"/>
        <v>585.9646332113507</v>
      </c>
      <c r="H266" s="269">
        <f t="shared" si="37"/>
        <v>1621012.5613158806</v>
      </c>
      <c r="I266" s="241"/>
      <c r="J266" s="233">
        <f t="shared" si="40"/>
        <v>3545.5849307961553</v>
      </c>
      <c r="K266" s="262">
        <f t="shared" si="38"/>
        <v>0</v>
      </c>
      <c r="L266" s="269">
        <f t="shared" si="41"/>
        <v>0</v>
      </c>
      <c r="M266" s="262"/>
      <c r="N266" s="271">
        <f>Données!S266</f>
        <v>413778.8</v>
      </c>
      <c r="O266" s="271">
        <f>Données!T266</f>
        <v>270227</v>
      </c>
      <c r="P266" s="271">
        <f>Données!U266</f>
        <v>387349.65</v>
      </c>
      <c r="Q266" s="246">
        <f>Données!V266</f>
        <v>607157.65</v>
      </c>
      <c r="R266" s="233">
        <f t="shared" si="39"/>
        <v>717825.02000000014</v>
      </c>
      <c r="S266" s="250">
        <f t="shared" si="44"/>
        <v>-682384.74243902636</v>
      </c>
      <c r="T266" s="251">
        <f t="shared" si="42"/>
        <v>35440.277560973773</v>
      </c>
    </row>
    <row r="267" spans="1:20" x14ac:dyDescent="0.25">
      <c r="A267" s="108">
        <f>Données!A267</f>
        <v>5885</v>
      </c>
      <c r="B267" s="120" t="str">
        <f>Données!B267</f>
        <v>Jongny</v>
      </c>
      <c r="C267" s="249">
        <f>Données!C267</f>
        <v>1917</v>
      </c>
      <c r="D267" s="246">
        <f>RFS!W267</f>
        <v>7024111.5761920214</v>
      </c>
      <c r="E267" s="262"/>
      <c r="F267" s="268">
        <f t="shared" si="36"/>
        <v>3664.116628164852</v>
      </c>
      <c r="G267" s="262">
        <f t="shared" si="43"/>
        <v>235.72462401096664</v>
      </c>
      <c r="H267" s="269">
        <f t="shared" si="37"/>
        <v>361507.28338321846</v>
      </c>
      <c r="I267" s="241"/>
      <c r="J267" s="233">
        <f t="shared" si="40"/>
        <v>3475.5369289560786</v>
      </c>
      <c r="K267" s="262">
        <f t="shared" si="38"/>
        <v>0</v>
      </c>
      <c r="L267" s="269">
        <f t="shared" si="41"/>
        <v>0</v>
      </c>
      <c r="M267" s="262"/>
      <c r="N267" s="271">
        <f>Données!S267</f>
        <v>249047.3</v>
      </c>
      <c r="O267" s="271">
        <f>Données!T267</f>
        <v>73968.2</v>
      </c>
      <c r="P267" s="271">
        <f>Données!U267</f>
        <v>181952.15</v>
      </c>
      <c r="Q267" s="246">
        <f>Données!V267</f>
        <v>12601.15</v>
      </c>
      <c r="R267" s="233">
        <f t="shared" si="39"/>
        <v>256264.17</v>
      </c>
      <c r="S267" s="250">
        <f t="shared" si="44"/>
        <v>-378291.36820578761</v>
      </c>
      <c r="T267" s="251">
        <f t="shared" si="42"/>
        <v>-122027.1982057876</v>
      </c>
    </row>
    <row r="268" spans="1:20" x14ac:dyDescent="0.25">
      <c r="A268" s="108">
        <f>Données!A268</f>
        <v>5886</v>
      </c>
      <c r="B268" s="120" t="str">
        <f>Données!B268</f>
        <v>Montreux</v>
      </c>
      <c r="C268" s="249">
        <f>Données!C268</f>
        <v>27166</v>
      </c>
      <c r="D268" s="246">
        <f>RFS!W268</f>
        <v>82570065.013393179</v>
      </c>
      <c r="E268" s="262"/>
      <c r="F268" s="268">
        <f t="shared" si="36"/>
        <v>3039.4634842594855</v>
      </c>
      <c r="G268" s="262">
        <f t="shared" si="43"/>
        <v>-388.92851989439987</v>
      </c>
      <c r="H268" s="269">
        <f t="shared" si="37"/>
        <v>-8452505.7371610142</v>
      </c>
      <c r="I268" s="241"/>
      <c r="J268" s="233">
        <f t="shared" si="40"/>
        <v>3350.6063001750053</v>
      </c>
      <c r="K268" s="262">
        <f t="shared" si="38"/>
        <v>0</v>
      </c>
      <c r="L268" s="269">
        <f t="shared" si="41"/>
        <v>0</v>
      </c>
      <c r="M268" s="262"/>
      <c r="N268" s="271">
        <f>Données!S268</f>
        <v>5504068.2999999998</v>
      </c>
      <c r="O268" s="271">
        <f>Données!T268</f>
        <v>13671780.9</v>
      </c>
      <c r="P268" s="271">
        <f>Données!U268</f>
        <v>3641576.8</v>
      </c>
      <c r="Q268" s="246">
        <f>Données!V268</f>
        <v>1494104.25</v>
      </c>
      <c r="R268" s="233">
        <f t="shared" si="39"/>
        <v>11856944.275</v>
      </c>
      <c r="S268" s="250">
        <f t="shared" si="44"/>
        <v>-5360805.0645166542</v>
      </c>
      <c r="T268" s="251">
        <f t="shared" si="42"/>
        <v>6496139.2104833461</v>
      </c>
    </row>
    <row r="269" spans="1:20" x14ac:dyDescent="0.25">
      <c r="A269" s="108">
        <f>Données!A269</f>
        <v>5889</v>
      </c>
      <c r="B269" s="120" t="str">
        <f>Données!B269</f>
        <v>La Tour-de-Peilz</v>
      </c>
      <c r="C269" s="249">
        <f>Données!C269</f>
        <v>13053</v>
      </c>
      <c r="D269" s="246">
        <f>RFS!W269</f>
        <v>52353266.73229152</v>
      </c>
      <c r="E269" s="262"/>
      <c r="F269" s="268">
        <f t="shared" si="36"/>
        <v>4010.8225490149025</v>
      </c>
      <c r="G269" s="262">
        <f t="shared" si="43"/>
        <v>582.4305448610171</v>
      </c>
      <c r="H269" s="269">
        <f t="shared" si="37"/>
        <v>6081972.7216566857</v>
      </c>
      <c r="I269" s="241"/>
      <c r="J269" s="233">
        <f t="shared" si="40"/>
        <v>3544.8781131260885</v>
      </c>
      <c r="K269" s="262">
        <f t="shared" si="38"/>
        <v>0</v>
      </c>
      <c r="L269" s="269">
        <f t="shared" si="41"/>
        <v>0</v>
      </c>
      <c r="M269" s="262"/>
      <c r="N269" s="271">
        <f>Données!S269</f>
        <v>1462156.35</v>
      </c>
      <c r="O269" s="271">
        <f>Données!T269</f>
        <v>1014203.7</v>
      </c>
      <c r="P269" s="271">
        <f>Données!U269</f>
        <v>797220.45</v>
      </c>
      <c r="Q269" s="246">
        <f>Données!V269</f>
        <v>196692.7</v>
      </c>
      <c r="R269" s="233">
        <f t="shared" si="39"/>
        <v>1695798.06</v>
      </c>
      <c r="S269" s="250">
        <f t="shared" si="44"/>
        <v>-2575814.9343714896</v>
      </c>
      <c r="T269" s="251">
        <f t="shared" si="42"/>
        <v>-880016.87437148951</v>
      </c>
    </row>
    <row r="270" spans="1:20" x14ac:dyDescent="0.25">
      <c r="A270" s="108">
        <f>Données!A270</f>
        <v>5890</v>
      </c>
      <c r="B270" s="120" t="str">
        <f>Données!B270</f>
        <v>Vevey</v>
      </c>
      <c r="C270" s="249">
        <f>Données!C270</f>
        <v>20179</v>
      </c>
      <c r="D270" s="246">
        <f>RFS!W270</f>
        <v>75658865.292739898</v>
      </c>
      <c r="E270" s="262"/>
      <c r="F270" s="268">
        <f t="shared" si="36"/>
        <v>3749.3862576311958</v>
      </c>
      <c r="G270" s="262">
        <f t="shared" si="43"/>
        <v>320.99425347731039</v>
      </c>
      <c r="H270" s="269">
        <f t="shared" si="37"/>
        <v>5181874.4327349178</v>
      </c>
      <c r="I270" s="241"/>
      <c r="J270" s="233">
        <f t="shared" si="40"/>
        <v>3492.5908548493471</v>
      </c>
      <c r="K270" s="262">
        <f t="shared" si="38"/>
        <v>0</v>
      </c>
      <c r="L270" s="269">
        <f t="shared" si="41"/>
        <v>0</v>
      </c>
      <c r="M270" s="262"/>
      <c r="N270" s="271">
        <f>Données!S270</f>
        <v>2340758.6</v>
      </c>
      <c r="O270" s="271">
        <f>Données!T270</f>
        <v>1194139.5</v>
      </c>
      <c r="P270" s="271">
        <f>Données!U270</f>
        <v>1063136.3500000001</v>
      </c>
      <c r="Q270" s="246">
        <f>Données!V270</f>
        <v>872669.7</v>
      </c>
      <c r="R270" s="233">
        <f t="shared" si="39"/>
        <v>2560818.1350000002</v>
      </c>
      <c r="S270" s="250">
        <f t="shared" si="44"/>
        <v>-3982024.7882235725</v>
      </c>
      <c r="T270" s="251">
        <f t="shared" si="42"/>
        <v>-1421206.6532235723</v>
      </c>
    </row>
    <row r="271" spans="1:20" x14ac:dyDescent="0.25">
      <c r="A271" s="108">
        <f>Données!A271</f>
        <v>5891</v>
      </c>
      <c r="B271" s="120" t="str">
        <f>Données!B271</f>
        <v>Veytaux</v>
      </c>
      <c r="C271" s="249">
        <f>Données!C271</f>
        <v>1008</v>
      </c>
      <c r="D271" s="246">
        <f>RFS!W271</f>
        <v>2508705.2223148504</v>
      </c>
      <c r="E271" s="262"/>
      <c r="F271" s="268">
        <f t="shared" si="36"/>
        <v>2488.7948634075897</v>
      </c>
      <c r="G271" s="262">
        <f t="shared" si="43"/>
        <v>-939.59714074629574</v>
      </c>
      <c r="H271" s="269">
        <f t="shared" si="37"/>
        <v>-757691.13429781282</v>
      </c>
      <c r="I271" s="241"/>
      <c r="J271" s="233">
        <f t="shared" si="40"/>
        <v>3240.4725760046263</v>
      </c>
      <c r="K271" s="262">
        <f t="shared" si="38"/>
        <v>0</v>
      </c>
      <c r="L271" s="269">
        <f t="shared" si="41"/>
        <v>0</v>
      </c>
      <c r="M271" s="262"/>
      <c r="N271" s="271">
        <f>Données!S271</f>
        <v>129744.9</v>
      </c>
      <c r="O271" s="271">
        <f>Données!T271</f>
        <v>0</v>
      </c>
      <c r="P271" s="271">
        <f>Données!U271</f>
        <v>29939.55</v>
      </c>
      <c r="Q271" s="246">
        <f>Données!V271</f>
        <v>12999.6</v>
      </c>
      <c r="R271" s="233">
        <f t="shared" si="39"/>
        <v>83742.104999999996</v>
      </c>
      <c r="S271" s="250">
        <f t="shared" si="44"/>
        <v>-198913.77107534371</v>
      </c>
      <c r="T271" s="251">
        <f t="shared" si="42"/>
        <v>-115171.66607534372</v>
      </c>
    </row>
    <row r="272" spans="1:20" x14ac:dyDescent="0.25">
      <c r="A272" s="108">
        <f>Données!A272</f>
        <v>5892</v>
      </c>
      <c r="B272" s="120" t="str">
        <f>Données!B272</f>
        <v>Blonay-Saint-Légier</v>
      </c>
      <c r="C272" s="249">
        <f>Données!C272</f>
        <v>12597</v>
      </c>
      <c r="D272" s="246">
        <f>RFS!W272</f>
        <v>50436320.339000195</v>
      </c>
      <c r="E272" s="262"/>
      <c r="F272" s="268">
        <f t="shared" si="36"/>
        <v>4003.835860839898</v>
      </c>
      <c r="G272" s="262">
        <f t="shared" si="43"/>
        <v>575.44385668601262</v>
      </c>
      <c r="H272" s="269">
        <f t="shared" si="37"/>
        <v>5799093.0101389615</v>
      </c>
      <c r="I272" s="241"/>
      <c r="J272" s="233">
        <f t="shared" si="40"/>
        <v>3543.480775491088</v>
      </c>
      <c r="K272" s="262">
        <f t="shared" si="38"/>
        <v>0</v>
      </c>
      <c r="L272" s="269">
        <f t="shared" si="41"/>
        <v>0</v>
      </c>
      <c r="M272" s="262"/>
      <c r="N272" s="271">
        <f>Données!S272</f>
        <v>2097121.75</v>
      </c>
      <c r="O272" s="271">
        <f>Données!T272</f>
        <v>2636448.3999999985</v>
      </c>
      <c r="P272" s="271">
        <f>Données!U272</f>
        <v>1927383.4</v>
      </c>
      <c r="Q272" s="246">
        <f>Données!V272</f>
        <v>363325.4</v>
      </c>
      <c r="R272" s="233">
        <f t="shared" si="39"/>
        <v>3439474.3949999996</v>
      </c>
      <c r="S272" s="250">
        <f t="shared" si="44"/>
        <v>-2485830.1331707388</v>
      </c>
      <c r="T272" s="251">
        <f t="shared" si="42"/>
        <v>953644.26182926074</v>
      </c>
    </row>
    <row r="273" spans="1:20" x14ac:dyDescent="0.25">
      <c r="A273" s="108">
        <f>Données!A273</f>
        <v>5902</v>
      </c>
      <c r="B273" s="120" t="str">
        <f>Données!B273</f>
        <v>Belmont-sur-Yverdon</v>
      </c>
      <c r="C273" s="249">
        <f>Données!C273</f>
        <v>457</v>
      </c>
      <c r="D273" s="246">
        <f>RFS!W273</f>
        <v>759900.65514529753</v>
      </c>
      <c r="E273" s="262"/>
      <c r="F273" s="268">
        <f t="shared" si="36"/>
        <v>1662.8023088518546</v>
      </c>
      <c r="G273" s="262">
        <f t="shared" si="43"/>
        <v>-1765.5896953020308</v>
      </c>
      <c r="H273" s="269">
        <f t="shared" si="37"/>
        <v>-645499.59260242246</v>
      </c>
      <c r="I273" s="241"/>
      <c r="J273" s="233">
        <f t="shared" si="40"/>
        <v>3075.2740650934793</v>
      </c>
      <c r="K273" s="262">
        <f t="shared" si="38"/>
        <v>-10.278738645017711</v>
      </c>
      <c r="L273" s="269">
        <f t="shared" si="41"/>
        <v>-4697</v>
      </c>
      <c r="M273" s="262"/>
      <c r="N273" s="271">
        <f>Données!S273</f>
        <v>51921.15</v>
      </c>
      <c r="O273" s="271">
        <f>Données!T273</f>
        <v>87</v>
      </c>
      <c r="P273" s="271">
        <f>Données!U273</f>
        <v>7799.6</v>
      </c>
      <c r="Q273" s="246">
        <f>Données!V273</f>
        <v>0</v>
      </c>
      <c r="R273" s="233">
        <f t="shared" si="39"/>
        <v>29903.875</v>
      </c>
      <c r="S273" s="250">
        <f t="shared" si="44"/>
        <v>-90182.136291103263</v>
      </c>
      <c r="T273" s="251">
        <f t="shared" si="42"/>
        <v>-60278.261291103263</v>
      </c>
    </row>
    <row r="274" spans="1:20" x14ac:dyDescent="0.25">
      <c r="A274" s="108">
        <f>Données!A274</f>
        <v>5903</v>
      </c>
      <c r="B274" s="120" t="str">
        <f>Données!B274</f>
        <v>Bioley-Magnoux</v>
      </c>
      <c r="C274" s="249">
        <f>Données!C274</f>
        <v>252</v>
      </c>
      <c r="D274" s="246">
        <f>RFS!W274</f>
        <v>444604.15531935875</v>
      </c>
      <c r="E274" s="262"/>
      <c r="F274" s="268">
        <f t="shared" si="36"/>
        <v>1764.3022036482489</v>
      </c>
      <c r="G274" s="262">
        <f t="shared" si="43"/>
        <v>-1664.0898005056365</v>
      </c>
      <c r="H274" s="269">
        <f t="shared" si="37"/>
        <v>-335480.50378193631</v>
      </c>
      <c r="I274" s="241"/>
      <c r="J274" s="233">
        <f t="shared" si="40"/>
        <v>3095.5740440527579</v>
      </c>
      <c r="K274" s="262">
        <f t="shared" si="38"/>
        <v>0</v>
      </c>
      <c r="L274" s="269">
        <f t="shared" si="41"/>
        <v>0</v>
      </c>
      <c r="M274" s="262"/>
      <c r="N274" s="271">
        <f>Données!S274</f>
        <v>26963.85</v>
      </c>
      <c r="O274" s="271">
        <f>Données!T274</f>
        <v>34.5</v>
      </c>
      <c r="P274" s="271">
        <f>Données!U274</f>
        <v>20594.05</v>
      </c>
      <c r="Q274" s="246">
        <f>Données!V274</f>
        <v>29976.1</v>
      </c>
      <c r="R274" s="233">
        <f t="shared" si="39"/>
        <v>32789.03</v>
      </c>
      <c r="S274" s="250">
        <f t="shared" si="44"/>
        <v>-49728.442768835928</v>
      </c>
      <c r="T274" s="251">
        <f t="shared" si="42"/>
        <v>-16939.412768835929</v>
      </c>
    </row>
    <row r="275" spans="1:20" x14ac:dyDescent="0.25">
      <c r="A275" s="108">
        <f>Données!A275</f>
        <v>5904</v>
      </c>
      <c r="B275" s="120" t="str">
        <f>Données!B275</f>
        <v>Chamblon</v>
      </c>
      <c r="C275" s="249">
        <f>Données!C275</f>
        <v>558</v>
      </c>
      <c r="D275" s="246">
        <f>RFS!W275</f>
        <v>1489065.7401498267</v>
      </c>
      <c r="E275" s="262"/>
      <c r="F275" s="268">
        <f t="shared" si="36"/>
        <v>2668.5765952505853</v>
      </c>
      <c r="G275" s="262">
        <f t="shared" si="43"/>
        <v>-759.81540890330007</v>
      </c>
      <c r="H275" s="269">
        <f t="shared" si="37"/>
        <v>-339181.59853443317</v>
      </c>
      <c r="I275" s="241"/>
      <c r="J275" s="233">
        <f t="shared" si="40"/>
        <v>3276.4289223732258</v>
      </c>
      <c r="K275" s="262">
        <f t="shared" si="38"/>
        <v>0</v>
      </c>
      <c r="L275" s="269">
        <f t="shared" si="41"/>
        <v>0</v>
      </c>
      <c r="M275" s="262"/>
      <c r="N275" s="271">
        <f>Données!S275</f>
        <v>43666.2</v>
      </c>
      <c r="O275" s="271">
        <f>Données!T275</f>
        <v>0</v>
      </c>
      <c r="P275" s="271">
        <f>Données!U275</f>
        <v>48443.199999999997</v>
      </c>
      <c r="Q275" s="246">
        <f>Données!V275</f>
        <v>75667.199999999997</v>
      </c>
      <c r="R275" s="233">
        <f t="shared" si="39"/>
        <v>68754.86</v>
      </c>
      <c r="S275" s="250">
        <f t="shared" si="44"/>
        <v>-110112.98041670813</v>
      </c>
      <c r="T275" s="251">
        <f t="shared" si="42"/>
        <v>-41358.120416708131</v>
      </c>
    </row>
    <row r="276" spans="1:20" x14ac:dyDescent="0.25">
      <c r="A276" s="108">
        <f>Données!A276</f>
        <v>5905</v>
      </c>
      <c r="B276" s="120" t="str">
        <f>Données!B276</f>
        <v>Champvent</v>
      </c>
      <c r="C276" s="249">
        <f>Données!C276</f>
        <v>692</v>
      </c>
      <c r="D276" s="246">
        <f>RFS!W276</f>
        <v>1161178.5938650249</v>
      </c>
      <c r="E276" s="262"/>
      <c r="F276" s="268">
        <f t="shared" si="36"/>
        <v>1678.0037483598626</v>
      </c>
      <c r="G276" s="262">
        <f t="shared" si="43"/>
        <v>-1750.3882557940228</v>
      </c>
      <c r="H276" s="269">
        <f t="shared" si="37"/>
        <v>-969014.93840757117</v>
      </c>
      <c r="I276" s="241"/>
      <c r="J276" s="233">
        <f t="shared" si="40"/>
        <v>3078.3143529950808</v>
      </c>
      <c r="K276" s="262">
        <f t="shared" si="38"/>
        <v>-7.2384507434162515</v>
      </c>
      <c r="L276" s="269">
        <f t="shared" si="41"/>
        <v>-5009</v>
      </c>
      <c r="M276" s="262"/>
      <c r="N276" s="271">
        <f>Données!S276</f>
        <v>7115.05</v>
      </c>
      <c r="O276" s="271">
        <f>Données!T276</f>
        <v>0</v>
      </c>
      <c r="P276" s="271">
        <f>Données!U276</f>
        <v>183.75</v>
      </c>
      <c r="Q276" s="246">
        <f>Données!V276</f>
        <v>174126.25</v>
      </c>
      <c r="R276" s="233">
        <f t="shared" si="39"/>
        <v>55887.275000000001</v>
      </c>
      <c r="S276" s="250">
        <f t="shared" si="44"/>
        <v>-136555.88252394629</v>
      </c>
      <c r="T276" s="251">
        <f t="shared" si="42"/>
        <v>-80668.607523946295</v>
      </c>
    </row>
    <row r="277" spans="1:20" x14ac:dyDescent="0.25">
      <c r="A277" s="108">
        <f>Données!A277</f>
        <v>5907</v>
      </c>
      <c r="B277" s="120" t="str">
        <f>Données!B277</f>
        <v>Chavannes-le-Chêne</v>
      </c>
      <c r="C277" s="249">
        <f>Données!C277</f>
        <v>329</v>
      </c>
      <c r="D277" s="246">
        <f>RFS!W277</f>
        <v>564211.45019064704</v>
      </c>
      <c r="E277" s="262"/>
      <c r="F277" s="268">
        <f t="shared" si="36"/>
        <v>1714.9284200323618</v>
      </c>
      <c r="G277" s="262">
        <f t="shared" si="43"/>
        <v>-1713.4635841215236</v>
      </c>
      <c r="H277" s="269">
        <f t="shared" si="37"/>
        <v>-450983.61534078507</v>
      </c>
      <c r="I277" s="241"/>
      <c r="J277" s="233">
        <f t="shared" si="40"/>
        <v>3085.6992873295812</v>
      </c>
      <c r="K277" s="262">
        <f t="shared" si="38"/>
        <v>0</v>
      </c>
      <c r="L277" s="269">
        <f t="shared" si="41"/>
        <v>0</v>
      </c>
      <c r="M277" s="262"/>
      <c r="N277" s="271">
        <f>Données!S277</f>
        <v>4235</v>
      </c>
      <c r="O277" s="271">
        <f>Données!T277</f>
        <v>0</v>
      </c>
      <c r="P277" s="271">
        <f>Données!U277</f>
        <v>9829.15</v>
      </c>
      <c r="Q277" s="246">
        <f>Données!V277</f>
        <v>4879.8</v>
      </c>
      <c r="R277" s="233">
        <f t="shared" si="39"/>
        <v>8496.0149999999994</v>
      </c>
      <c r="S277" s="250">
        <f t="shared" si="44"/>
        <v>-64923.244725980243</v>
      </c>
      <c r="T277" s="251">
        <f t="shared" si="42"/>
        <v>-56427.229725980244</v>
      </c>
    </row>
    <row r="278" spans="1:20" x14ac:dyDescent="0.25">
      <c r="A278" s="108">
        <f>Données!A278</f>
        <v>5908</v>
      </c>
      <c r="B278" s="120" t="str">
        <f>Données!B278</f>
        <v>Chêne-Pâquier</v>
      </c>
      <c r="C278" s="249">
        <f>Données!C278</f>
        <v>172</v>
      </c>
      <c r="D278" s="246">
        <f>RFS!W278</f>
        <v>296939.6400317995</v>
      </c>
      <c r="E278" s="262"/>
      <c r="F278" s="268">
        <f t="shared" si="36"/>
        <v>1726.3932559988343</v>
      </c>
      <c r="G278" s="262">
        <f t="shared" si="43"/>
        <v>-1701.9987481550511</v>
      </c>
      <c r="H278" s="269">
        <f t="shared" si="37"/>
        <v>-234195.02774613505</v>
      </c>
      <c r="I278" s="241"/>
      <c r="J278" s="233">
        <f t="shared" si="40"/>
        <v>3087.9922545228756</v>
      </c>
      <c r="K278" s="262">
        <f t="shared" si="38"/>
        <v>0</v>
      </c>
      <c r="L278" s="269">
        <f t="shared" si="41"/>
        <v>0</v>
      </c>
      <c r="M278" s="262"/>
      <c r="N278" s="271">
        <f>Données!S278</f>
        <v>1782.6</v>
      </c>
      <c r="O278" s="271">
        <f>Données!T278</f>
        <v>0</v>
      </c>
      <c r="P278" s="271">
        <f>Données!U278</f>
        <v>505.55</v>
      </c>
      <c r="Q278" s="246">
        <f>Données!V278</f>
        <v>0</v>
      </c>
      <c r="R278" s="233">
        <f t="shared" si="39"/>
        <v>1144.075</v>
      </c>
      <c r="S278" s="250">
        <f t="shared" si="44"/>
        <v>-33941.635540634052</v>
      </c>
      <c r="T278" s="251">
        <f t="shared" si="42"/>
        <v>-32797.560540634055</v>
      </c>
    </row>
    <row r="279" spans="1:20" x14ac:dyDescent="0.25">
      <c r="A279" s="108">
        <f>Données!A279</f>
        <v>5909</v>
      </c>
      <c r="B279" s="120" t="str">
        <f>Données!B279</f>
        <v>Cheseaux-Noréaz</v>
      </c>
      <c r="C279" s="249">
        <f>Données!C279</f>
        <v>745</v>
      </c>
      <c r="D279" s="246">
        <f>RFS!W279</f>
        <v>2346791.2727190019</v>
      </c>
      <c r="E279" s="262"/>
      <c r="F279" s="268">
        <f t="shared" si="36"/>
        <v>3150.0553996228214</v>
      </c>
      <c r="G279" s="262">
        <f t="shared" si="43"/>
        <v>-278.33660453106404</v>
      </c>
      <c r="H279" s="269">
        <f t="shared" si="37"/>
        <v>-165888.61630051417</v>
      </c>
      <c r="I279" s="241"/>
      <c r="J279" s="233">
        <f t="shared" si="40"/>
        <v>3372.7246832476721</v>
      </c>
      <c r="K279" s="262">
        <f t="shared" si="38"/>
        <v>0</v>
      </c>
      <c r="L279" s="269">
        <f t="shared" si="41"/>
        <v>0</v>
      </c>
      <c r="M279" s="262"/>
      <c r="N279" s="271">
        <f>Données!S279</f>
        <v>83798</v>
      </c>
      <c r="O279" s="271">
        <f>Données!T279</f>
        <v>54344.1</v>
      </c>
      <c r="P279" s="271">
        <f>Données!U279</f>
        <v>59742.9</v>
      </c>
      <c r="Q279" s="246">
        <f>Données!V279</f>
        <v>12754.4</v>
      </c>
      <c r="R279" s="233">
        <f t="shared" si="39"/>
        <v>102768.82</v>
      </c>
      <c r="S279" s="250">
        <f t="shared" si="44"/>
        <v>-147014.64231263002</v>
      </c>
      <c r="T279" s="251">
        <f t="shared" si="42"/>
        <v>-44245.822312630014</v>
      </c>
    </row>
    <row r="280" spans="1:20" x14ac:dyDescent="0.25">
      <c r="A280" s="108">
        <f>Données!A280</f>
        <v>5910</v>
      </c>
      <c r="B280" s="120" t="str">
        <f>Données!B280</f>
        <v>Cronay</v>
      </c>
      <c r="C280" s="249">
        <f>Données!C280</f>
        <v>432</v>
      </c>
      <c r="D280" s="246">
        <f>RFS!W280</f>
        <v>686136.55342352029</v>
      </c>
      <c r="E280" s="262"/>
      <c r="F280" s="268">
        <f t="shared" si="36"/>
        <v>1588.2790588507414</v>
      </c>
      <c r="G280" s="262">
        <f t="shared" si="43"/>
        <v>-1840.112945303144</v>
      </c>
      <c r="H280" s="269">
        <f t="shared" si="37"/>
        <v>-635943.0338967666</v>
      </c>
      <c r="I280" s="241"/>
      <c r="J280" s="233">
        <f t="shared" si="40"/>
        <v>3060.3694150932565</v>
      </c>
      <c r="K280" s="262">
        <f t="shared" si="38"/>
        <v>-25.183388645240484</v>
      </c>
      <c r="L280" s="269">
        <f t="shared" si="41"/>
        <v>-10879</v>
      </c>
      <c r="M280" s="262"/>
      <c r="N280" s="271">
        <f>Données!S280</f>
        <v>11550</v>
      </c>
      <c r="O280" s="271">
        <f>Données!T280</f>
        <v>0</v>
      </c>
      <c r="P280" s="271">
        <f>Données!U280</f>
        <v>50911.65</v>
      </c>
      <c r="Q280" s="246">
        <f>Données!V280</f>
        <v>0</v>
      </c>
      <c r="R280" s="233">
        <f t="shared" si="39"/>
        <v>31230.825000000001</v>
      </c>
      <c r="S280" s="250">
        <f t="shared" si="44"/>
        <v>-85248.759032290167</v>
      </c>
      <c r="T280" s="251">
        <f t="shared" si="42"/>
        <v>-54017.93403229017</v>
      </c>
    </row>
    <row r="281" spans="1:20" x14ac:dyDescent="0.25">
      <c r="A281" s="108">
        <f>Données!A281</f>
        <v>5911</v>
      </c>
      <c r="B281" s="120" t="str">
        <f>Données!B281</f>
        <v>Cuarny</v>
      </c>
      <c r="C281" s="249">
        <f>Données!C281</f>
        <v>244</v>
      </c>
      <c r="D281" s="246">
        <f>RFS!W281</f>
        <v>482359.60763855226</v>
      </c>
      <c r="E281" s="262"/>
      <c r="F281" s="268">
        <f t="shared" si="36"/>
        <v>1976.8836378629192</v>
      </c>
      <c r="G281" s="262">
        <f t="shared" si="43"/>
        <v>-1451.5083662909663</v>
      </c>
      <c r="H281" s="269">
        <f t="shared" si="37"/>
        <v>-283334.43309999665</v>
      </c>
      <c r="I281" s="241"/>
      <c r="J281" s="233">
        <f t="shared" si="40"/>
        <v>3138.0903308956922</v>
      </c>
      <c r="K281" s="262">
        <f t="shared" si="38"/>
        <v>0</v>
      </c>
      <c r="L281" s="269">
        <f t="shared" si="41"/>
        <v>0</v>
      </c>
      <c r="M281" s="262"/>
      <c r="N281" s="271">
        <f>Données!S281</f>
        <v>10285</v>
      </c>
      <c r="O281" s="271">
        <f>Données!T281</f>
        <v>0</v>
      </c>
      <c r="P281" s="271">
        <f>Données!U281</f>
        <v>0</v>
      </c>
      <c r="Q281" s="246">
        <f>Données!V281</f>
        <v>0</v>
      </c>
      <c r="R281" s="233">
        <f t="shared" si="39"/>
        <v>5142.5</v>
      </c>
      <c r="S281" s="250">
        <f t="shared" si="44"/>
        <v>-48149.762046015741</v>
      </c>
      <c r="T281" s="251">
        <f t="shared" si="42"/>
        <v>-43007.262046015741</v>
      </c>
    </row>
    <row r="282" spans="1:20" x14ac:dyDescent="0.25">
      <c r="A282" s="108">
        <f>Données!A282</f>
        <v>5912</v>
      </c>
      <c r="B282" s="120" t="str">
        <f>Données!B282</f>
        <v>Démoret</v>
      </c>
      <c r="C282" s="249">
        <f>Données!C282</f>
        <v>181</v>
      </c>
      <c r="D282" s="246">
        <f>RFS!W282</f>
        <v>308639.27353043389</v>
      </c>
      <c r="E282" s="262"/>
      <c r="F282" s="268">
        <f t="shared" si="36"/>
        <v>1705.1893565217342</v>
      </c>
      <c r="G282" s="262">
        <f t="shared" si="43"/>
        <v>-1723.2026476321512</v>
      </c>
      <c r="H282" s="269">
        <f t="shared" si="37"/>
        <v>-249519.74337713551</v>
      </c>
      <c r="I282" s="241"/>
      <c r="J282" s="233">
        <f t="shared" si="40"/>
        <v>3083.7514746274551</v>
      </c>
      <c r="K282" s="262">
        <f t="shared" si="38"/>
        <v>-1.8013291110419232</v>
      </c>
      <c r="L282" s="269">
        <f t="shared" si="41"/>
        <v>-326</v>
      </c>
      <c r="M282" s="262"/>
      <c r="N282" s="271">
        <f>Données!S282</f>
        <v>8580</v>
      </c>
      <c r="O282" s="271">
        <f>Données!T282</f>
        <v>0</v>
      </c>
      <c r="P282" s="271">
        <f>Données!U282</f>
        <v>9685.2999999999993</v>
      </c>
      <c r="Q282" s="246">
        <f>Données!V282</f>
        <v>0</v>
      </c>
      <c r="R282" s="233">
        <f t="shared" si="39"/>
        <v>9132.65</v>
      </c>
      <c r="S282" s="250">
        <f t="shared" si="44"/>
        <v>-35717.651353806759</v>
      </c>
      <c r="T282" s="251">
        <f t="shared" si="42"/>
        <v>-26585.001353806758</v>
      </c>
    </row>
    <row r="283" spans="1:20" x14ac:dyDescent="0.25">
      <c r="A283" s="108">
        <f>Données!A283</f>
        <v>5913</v>
      </c>
      <c r="B283" s="120" t="str">
        <f>Données!B283</f>
        <v>Donneloye</v>
      </c>
      <c r="C283" s="249">
        <f>Données!C283</f>
        <v>905</v>
      </c>
      <c r="D283" s="246">
        <f>RFS!W283</f>
        <v>1544502.8295582505</v>
      </c>
      <c r="E283" s="262"/>
      <c r="F283" s="268">
        <f t="shared" si="36"/>
        <v>1706.6329608378458</v>
      </c>
      <c r="G283" s="262">
        <f t="shared" si="43"/>
        <v>-1721.7590433160397</v>
      </c>
      <c r="H283" s="269">
        <f t="shared" si="37"/>
        <v>-1246553.5473608128</v>
      </c>
      <c r="I283" s="241"/>
      <c r="J283" s="233">
        <f t="shared" si="40"/>
        <v>3084.0401954906774</v>
      </c>
      <c r="K283" s="262">
        <f t="shared" si="38"/>
        <v>-1.5126082478195713</v>
      </c>
      <c r="L283" s="269">
        <f t="shared" si="41"/>
        <v>-1369</v>
      </c>
      <c r="M283" s="262"/>
      <c r="N283" s="271">
        <f>Données!S283</f>
        <v>30121.85</v>
      </c>
      <c r="O283" s="271">
        <f>Données!T283</f>
        <v>55799</v>
      </c>
      <c r="P283" s="271">
        <f>Données!U283</f>
        <v>34681</v>
      </c>
      <c r="Q283" s="246">
        <f>Données!V283</f>
        <v>15784.65</v>
      </c>
      <c r="R283" s="233">
        <f t="shared" si="39"/>
        <v>65036.32</v>
      </c>
      <c r="S283" s="250">
        <f t="shared" si="44"/>
        <v>-178588.25676903379</v>
      </c>
      <c r="T283" s="251">
        <f t="shared" si="42"/>
        <v>-113551.93676903378</v>
      </c>
    </row>
    <row r="284" spans="1:20" x14ac:dyDescent="0.25">
      <c r="A284" s="108">
        <f>Données!A284</f>
        <v>5914</v>
      </c>
      <c r="B284" s="120" t="str">
        <f>Données!B284</f>
        <v>Ependes</v>
      </c>
      <c r="C284" s="249">
        <f>Données!C284</f>
        <v>376</v>
      </c>
      <c r="D284" s="246">
        <f>RFS!W284</f>
        <v>662913.46204534336</v>
      </c>
      <c r="E284" s="262"/>
      <c r="F284" s="268">
        <f t="shared" si="36"/>
        <v>1763.0677182057004</v>
      </c>
      <c r="G284" s="262">
        <f t="shared" si="43"/>
        <v>-1665.324285948185</v>
      </c>
      <c r="H284" s="269">
        <f t="shared" si="37"/>
        <v>-500929.54521321406</v>
      </c>
      <c r="I284" s="241"/>
      <c r="J284" s="233">
        <f t="shared" si="40"/>
        <v>3095.3271469642486</v>
      </c>
      <c r="K284" s="262">
        <f t="shared" si="38"/>
        <v>0</v>
      </c>
      <c r="L284" s="269">
        <f t="shared" si="41"/>
        <v>0</v>
      </c>
      <c r="M284" s="262"/>
      <c r="N284" s="271">
        <f>Données!S284</f>
        <v>47790.9</v>
      </c>
      <c r="O284" s="271">
        <f>Données!T284</f>
        <v>1226.4000000000001</v>
      </c>
      <c r="P284" s="271">
        <f>Données!U284</f>
        <v>59599.15</v>
      </c>
      <c r="Q284" s="246">
        <f>Données!V284</f>
        <v>62699.85</v>
      </c>
      <c r="R284" s="233">
        <f t="shared" si="39"/>
        <v>73118.180000000008</v>
      </c>
      <c r="S284" s="250">
        <f t="shared" si="44"/>
        <v>-74197.993972548851</v>
      </c>
      <c r="T284" s="251">
        <f t="shared" si="42"/>
        <v>-1079.8139725488436</v>
      </c>
    </row>
    <row r="285" spans="1:20" x14ac:dyDescent="0.25">
      <c r="A285" s="108">
        <f>Données!A285</f>
        <v>5941</v>
      </c>
      <c r="B285" s="120" t="str">
        <f>Données!B285</f>
        <v>Mathod-Suscévaz</v>
      </c>
      <c r="C285" s="249">
        <f>Données!C285</f>
        <v>1003</v>
      </c>
      <c r="D285" s="246">
        <f>RFS!W285</f>
        <v>2044467.8323147001</v>
      </c>
      <c r="E285" s="262"/>
      <c r="F285" s="268">
        <f t="shared" si="36"/>
        <v>2038.3527739927219</v>
      </c>
      <c r="G285" s="262">
        <f t="shared" si="43"/>
        <v>-1390.0392301611635</v>
      </c>
      <c r="H285" s="269">
        <f t="shared" si="37"/>
        <v>-1115367.4782813175</v>
      </c>
      <c r="I285" s="241"/>
      <c r="J285" s="233">
        <f t="shared" si="40"/>
        <v>3150.3841581216525</v>
      </c>
      <c r="K285" s="262">
        <f t="shared" si="38"/>
        <v>0</v>
      </c>
      <c r="L285" s="269">
        <f t="shared" si="41"/>
        <v>0</v>
      </c>
      <c r="M285" s="262"/>
      <c r="N285" s="271">
        <f>Données!S285</f>
        <v>124160.1</v>
      </c>
      <c r="O285" s="271">
        <f>Données!T285</f>
        <v>78501.2</v>
      </c>
      <c r="P285" s="271">
        <f>Données!U285</f>
        <v>31388.3</v>
      </c>
      <c r="Q285" s="246">
        <f>Données!V285</f>
        <v>45413.2</v>
      </c>
      <c r="R285" s="233">
        <f t="shared" si="39"/>
        <v>130648.75999999998</v>
      </c>
      <c r="S285" s="250">
        <f t="shared" si="44"/>
        <v>-197927.09562358112</v>
      </c>
      <c r="T285" s="251">
        <f t="shared" si="42"/>
        <v>-67278.335623581137</v>
      </c>
    </row>
    <row r="286" spans="1:20" x14ac:dyDescent="0.25">
      <c r="A286" s="108">
        <f>Données!A286</f>
        <v>5921</v>
      </c>
      <c r="B286" s="120" t="str">
        <f>Données!B286</f>
        <v>Molondin</v>
      </c>
      <c r="C286" s="249">
        <f>Données!C286</f>
        <v>260</v>
      </c>
      <c r="D286" s="246">
        <f>RFS!W286</f>
        <v>457600.08427800995</v>
      </c>
      <c r="E286" s="262"/>
      <c r="F286" s="268">
        <f t="shared" si="36"/>
        <v>1760.000324146192</v>
      </c>
      <c r="G286" s="262">
        <f t="shared" si="43"/>
        <v>-1668.3916800076934</v>
      </c>
      <c r="H286" s="269">
        <f t="shared" si="37"/>
        <v>-347025.46944160026</v>
      </c>
      <c r="I286" s="241"/>
      <c r="J286" s="233">
        <f t="shared" si="40"/>
        <v>3094.7136681523471</v>
      </c>
      <c r="K286" s="262">
        <f t="shared" si="38"/>
        <v>0</v>
      </c>
      <c r="L286" s="269">
        <f t="shared" si="41"/>
        <v>0</v>
      </c>
      <c r="M286" s="262"/>
      <c r="N286" s="271">
        <f>Données!S286</f>
        <v>25320.5</v>
      </c>
      <c r="O286" s="271">
        <f>Données!T286</f>
        <v>1845</v>
      </c>
      <c r="P286" s="271">
        <f>Données!U286</f>
        <v>33710.65</v>
      </c>
      <c r="Q286" s="246">
        <f>Données!V286</f>
        <v>5872.95</v>
      </c>
      <c r="R286" s="233">
        <f t="shared" si="39"/>
        <v>32199.96</v>
      </c>
      <c r="S286" s="250">
        <f t="shared" si="44"/>
        <v>-51307.123491656122</v>
      </c>
      <c r="T286" s="251">
        <f t="shared" si="42"/>
        <v>-19107.163491656123</v>
      </c>
    </row>
    <row r="287" spans="1:20" x14ac:dyDescent="0.25">
      <c r="A287" s="108">
        <f>Données!A287</f>
        <v>5922</v>
      </c>
      <c r="B287" s="120" t="str">
        <f>Données!B287</f>
        <v>Montagny-près-Yverdon</v>
      </c>
      <c r="C287" s="249">
        <f>Données!C287</f>
        <v>768</v>
      </c>
      <c r="D287" s="246">
        <f>RFS!W287</f>
        <v>2696915.8878496238</v>
      </c>
      <c r="E287" s="262"/>
      <c r="F287" s="268">
        <f t="shared" si="36"/>
        <v>3511.6092289708645</v>
      </c>
      <c r="G287" s="262">
        <f t="shared" si="43"/>
        <v>83.217224816979069</v>
      </c>
      <c r="H287" s="269">
        <f t="shared" si="37"/>
        <v>51128.662927551944</v>
      </c>
      <c r="I287" s="241"/>
      <c r="J287" s="233">
        <f t="shared" si="40"/>
        <v>3445.0354491172807</v>
      </c>
      <c r="K287" s="262">
        <f t="shared" si="38"/>
        <v>0</v>
      </c>
      <c r="L287" s="269">
        <f t="shared" si="41"/>
        <v>0</v>
      </c>
      <c r="M287" s="262"/>
      <c r="N287" s="271">
        <f>Données!S287</f>
        <v>95533.85</v>
      </c>
      <c r="O287" s="271">
        <f>Données!T287</f>
        <v>51876</v>
      </c>
      <c r="P287" s="271">
        <f>Données!U287</f>
        <v>67212.75</v>
      </c>
      <c r="Q287" s="246">
        <f>Données!V287</f>
        <v>524935.94999999995</v>
      </c>
      <c r="R287" s="233">
        <f t="shared" si="39"/>
        <v>264792.08499999996</v>
      </c>
      <c r="S287" s="250">
        <f t="shared" si="44"/>
        <v>-151553.34939073806</v>
      </c>
      <c r="T287" s="251">
        <f t="shared" si="42"/>
        <v>113238.7356092619</v>
      </c>
    </row>
    <row r="288" spans="1:20" x14ac:dyDescent="0.25">
      <c r="A288" s="108">
        <f>Données!A288</f>
        <v>5923</v>
      </c>
      <c r="B288" s="120" t="str">
        <f>Données!B288</f>
        <v>Oppens</v>
      </c>
      <c r="C288" s="249">
        <f>Données!C288</f>
        <v>201</v>
      </c>
      <c r="D288" s="246">
        <f>RFS!W288</f>
        <v>374217.56614860223</v>
      </c>
      <c r="E288" s="262"/>
      <c r="F288" s="268">
        <f t="shared" si="36"/>
        <v>1861.7789360626978</v>
      </c>
      <c r="G288" s="262">
        <f t="shared" si="43"/>
        <v>-1566.6130680911876</v>
      </c>
      <c r="H288" s="269">
        <f t="shared" si="37"/>
        <v>-251911.38134906298</v>
      </c>
      <c r="I288" s="241"/>
      <c r="J288" s="233">
        <f t="shared" si="40"/>
        <v>3115.0693905356475</v>
      </c>
      <c r="K288" s="262">
        <f t="shared" si="38"/>
        <v>0</v>
      </c>
      <c r="L288" s="269">
        <f t="shared" si="41"/>
        <v>0</v>
      </c>
      <c r="M288" s="262"/>
      <c r="N288" s="271">
        <f>Données!S288</f>
        <v>9642.6</v>
      </c>
      <c r="O288" s="271">
        <f>Données!T288</f>
        <v>0</v>
      </c>
      <c r="P288" s="271">
        <f>Données!U288</f>
        <v>0</v>
      </c>
      <c r="Q288" s="246">
        <f>Données!V288</f>
        <v>29797.55</v>
      </c>
      <c r="R288" s="233">
        <f t="shared" si="39"/>
        <v>13760.564999999999</v>
      </c>
      <c r="S288" s="250">
        <f t="shared" si="44"/>
        <v>-39664.35316085723</v>
      </c>
      <c r="T288" s="251">
        <f t="shared" si="42"/>
        <v>-25903.788160857232</v>
      </c>
    </row>
    <row r="289" spans="1:20" x14ac:dyDescent="0.25">
      <c r="A289" s="108">
        <f>Données!A289</f>
        <v>5924</v>
      </c>
      <c r="B289" s="120" t="str">
        <f>Données!B289</f>
        <v>Orges</v>
      </c>
      <c r="C289" s="249">
        <f>Données!C289</f>
        <v>416</v>
      </c>
      <c r="D289" s="246">
        <f>RFS!W289</f>
        <v>998591.86280389887</v>
      </c>
      <c r="E289" s="262"/>
      <c r="F289" s="268">
        <f t="shared" si="36"/>
        <v>2400.4612086632183</v>
      </c>
      <c r="G289" s="262">
        <f t="shared" si="43"/>
        <v>-1027.9307954906672</v>
      </c>
      <c r="H289" s="269">
        <f t="shared" si="37"/>
        <v>-342095.36873929406</v>
      </c>
      <c r="I289" s="241"/>
      <c r="J289" s="233">
        <f t="shared" si="40"/>
        <v>3222.8058450557519</v>
      </c>
      <c r="K289" s="262">
        <f t="shared" si="38"/>
        <v>0</v>
      </c>
      <c r="L289" s="269">
        <f t="shared" si="41"/>
        <v>0</v>
      </c>
      <c r="M289" s="262"/>
      <c r="N289" s="271">
        <f>Données!S289</f>
        <v>59993.4</v>
      </c>
      <c r="O289" s="271">
        <f>Données!T289</f>
        <v>0</v>
      </c>
      <c r="P289" s="271">
        <f>Données!U289</f>
        <v>64651.45</v>
      </c>
      <c r="Q289" s="246">
        <f>Données!V289</f>
        <v>55185.95</v>
      </c>
      <c r="R289" s="233">
        <f t="shared" si="39"/>
        <v>78878.210000000006</v>
      </c>
      <c r="S289" s="250">
        <f t="shared" si="44"/>
        <v>-82091.397586649793</v>
      </c>
      <c r="T289" s="251">
        <f t="shared" si="42"/>
        <v>-3213.1875866497867</v>
      </c>
    </row>
    <row r="290" spans="1:20" x14ac:dyDescent="0.25">
      <c r="A290" s="108">
        <f>Données!A290</f>
        <v>5925</v>
      </c>
      <c r="B290" s="120" t="str">
        <f>Données!B290</f>
        <v>Orzens</v>
      </c>
      <c r="C290" s="249">
        <f>Données!C290</f>
        <v>216</v>
      </c>
      <c r="D290" s="246">
        <f>RFS!W290</f>
        <v>413864.09751815756</v>
      </c>
      <c r="E290" s="262"/>
      <c r="F290" s="268">
        <f t="shared" si="36"/>
        <v>1916.0374885099886</v>
      </c>
      <c r="G290" s="262">
        <f t="shared" si="43"/>
        <v>-1512.3545156438968</v>
      </c>
      <c r="H290" s="269">
        <f t="shared" si="37"/>
        <v>-261334.86030326536</v>
      </c>
      <c r="I290" s="241"/>
      <c r="J290" s="233">
        <f t="shared" si="40"/>
        <v>3125.9211010251061</v>
      </c>
      <c r="K290" s="262">
        <f t="shared" si="38"/>
        <v>0</v>
      </c>
      <c r="L290" s="269">
        <f t="shared" si="41"/>
        <v>0</v>
      </c>
      <c r="M290" s="262"/>
      <c r="N290" s="271">
        <f>Données!S290</f>
        <v>11829.949999999997</v>
      </c>
      <c r="O290" s="271">
        <f>Données!T290</f>
        <v>125</v>
      </c>
      <c r="P290" s="271">
        <f>Données!U290</f>
        <v>29903.7</v>
      </c>
      <c r="Q290" s="246">
        <f>Données!V290</f>
        <v>7528.55</v>
      </c>
      <c r="R290" s="233">
        <f t="shared" si="39"/>
        <v>23187.889999999996</v>
      </c>
      <c r="S290" s="250">
        <f t="shared" si="44"/>
        <v>-42624.379516145083</v>
      </c>
      <c r="T290" s="251">
        <f t="shared" si="42"/>
        <v>-19436.489516145088</v>
      </c>
    </row>
    <row r="291" spans="1:20" x14ac:dyDescent="0.25">
      <c r="A291" s="108">
        <f>Données!A291</f>
        <v>5926</v>
      </c>
      <c r="B291" s="120" t="str">
        <f>Données!B291</f>
        <v>Pomy</v>
      </c>
      <c r="C291" s="249">
        <f>Données!C291</f>
        <v>904</v>
      </c>
      <c r="D291" s="246">
        <f>RFS!W291</f>
        <v>1992153.0541869998</v>
      </c>
      <c r="E291" s="262"/>
      <c r="F291" s="268">
        <f t="shared" si="36"/>
        <v>2203.7091307378319</v>
      </c>
      <c r="G291" s="262">
        <f t="shared" si="43"/>
        <v>-1224.6828734160536</v>
      </c>
      <c r="H291" s="269">
        <f t="shared" si="37"/>
        <v>-885690.65405448992</v>
      </c>
      <c r="I291" s="241"/>
      <c r="J291" s="233">
        <f t="shared" si="40"/>
        <v>3183.4554294706745</v>
      </c>
      <c r="K291" s="262">
        <f t="shared" si="38"/>
        <v>0</v>
      </c>
      <c r="L291" s="269">
        <f t="shared" si="41"/>
        <v>0</v>
      </c>
      <c r="M291" s="262"/>
      <c r="N291" s="271">
        <f>Données!S291</f>
        <v>70124.399999999994</v>
      </c>
      <c r="O291" s="271">
        <f>Données!T291</f>
        <v>25936.3</v>
      </c>
      <c r="P291" s="271">
        <f>Données!U291</f>
        <v>37668.800000000003</v>
      </c>
      <c r="Q291" s="246">
        <f>Données!V291</f>
        <v>29532.5</v>
      </c>
      <c r="R291" s="233">
        <f t="shared" si="39"/>
        <v>75724.5</v>
      </c>
      <c r="S291" s="250">
        <f t="shared" si="44"/>
        <v>-178390.92167868128</v>
      </c>
      <c r="T291" s="251">
        <f t="shared" si="42"/>
        <v>-102666.42167868128</v>
      </c>
    </row>
    <row r="292" spans="1:20" x14ac:dyDescent="0.25">
      <c r="A292" s="108">
        <f>Données!A292</f>
        <v>5928</v>
      </c>
      <c r="B292" s="120" t="str">
        <f>Données!B292</f>
        <v>Rovray</v>
      </c>
      <c r="C292" s="249">
        <f>Données!C292</f>
        <v>198</v>
      </c>
      <c r="D292" s="246">
        <f>RFS!W292</f>
        <v>346737.08189018065</v>
      </c>
      <c r="E292" s="262"/>
      <c r="F292" s="268">
        <f t="shared" si="36"/>
        <v>1751.1973832837407</v>
      </c>
      <c r="G292" s="262">
        <f t="shared" si="43"/>
        <v>-1677.1946208701447</v>
      </c>
      <c r="H292" s="269">
        <f t="shared" si="37"/>
        <v>-265667.62794583093</v>
      </c>
      <c r="I292" s="241"/>
      <c r="J292" s="233">
        <f t="shared" si="40"/>
        <v>3092.9530799798563</v>
      </c>
      <c r="K292" s="262">
        <f t="shared" si="38"/>
        <v>0</v>
      </c>
      <c r="L292" s="269">
        <f t="shared" si="41"/>
        <v>0</v>
      </c>
      <c r="M292" s="262"/>
      <c r="N292" s="271">
        <f>Données!S292</f>
        <v>0</v>
      </c>
      <c r="O292" s="271">
        <f>Données!T292</f>
        <v>0</v>
      </c>
      <c r="P292" s="271">
        <f>Données!U292</f>
        <v>0</v>
      </c>
      <c r="Q292" s="246">
        <f>Données!V292</f>
        <v>0</v>
      </c>
      <c r="R292" s="233">
        <f t="shared" si="39"/>
        <v>0</v>
      </c>
      <c r="S292" s="250">
        <f t="shared" si="44"/>
        <v>-39072.347889799661</v>
      </c>
      <c r="T292" s="251">
        <f t="shared" si="42"/>
        <v>-39072.347889799661</v>
      </c>
    </row>
    <row r="293" spans="1:20" x14ac:dyDescent="0.25">
      <c r="A293" s="108">
        <f>Données!A293</f>
        <v>5929</v>
      </c>
      <c r="B293" s="120" t="str">
        <f>Données!B293</f>
        <v>Suchy</v>
      </c>
      <c r="C293" s="249">
        <f>Données!C293</f>
        <v>672</v>
      </c>
      <c r="D293" s="246">
        <f>RFS!W293</f>
        <v>1573907.579985145</v>
      </c>
      <c r="E293" s="262"/>
      <c r="F293" s="268">
        <f t="shared" si="36"/>
        <v>2342.1243749778941</v>
      </c>
      <c r="G293" s="262">
        <f t="shared" si="43"/>
        <v>-1086.2676291759913</v>
      </c>
      <c r="H293" s="269">
        <f t="shared" si="37"/>
        <v>-583977.47744501301</v>
      </c>
      <c r="I293" s="241"/>
      <c r="J293" s="233">
        <f t="shared" si="40"/>
        <v>3211.1384783186872</v>
      </c>
      <c r="K293" s="262">
        <f t="shared" si="38"/>
        <v>0</v>
      </c>
      <c r="L293" s="269">
        <f t="shared" si="41"/>
        <v>0</v>
      </c>
      <c r="M293" s="262"/>
      <c r="N293" s="271">
        <f>Données!S293</f>
        <v>58823.9</v>
      </c>
      <c r="O293" s="271">
        <f>Données!T293</f>
        <v>8024.9</v>
      </c>
      <c r="P293" s="271">
        <f>Données!U293</f>
        <v>22857.65</v>
      </c>
      <c r="Q293" s="246">
        <f>Données!V293</f>
        <v>18198.7</v>
      </c>
      <c r="R293" s="233">
        <f t="shared" si="39"/>
        <v>50312.835000000006</v>
      </c>
      <c r="S293" s="250">
        <f t="shared" si="44"/>
        <v>-132609.18071689582</v>
      </c>
      <c r="T293" s="251">
        <f t="shared" si="42"/>
        <v>-82296.345716895812</v>
      </c>
    </row>
    <row r="294" spans="1:20" x14ac:dyDescent="0.25">
      <c r="A294" s="108">
        <f>Données!A294</f>
        <v>5931</v>
      </c>
      <c r="B294" s="120" t="str">
        <f>Données!B294</f>
        <v>Treycovagnes</v>
      </c>
      <c r="C294" s="249">
        <f>Données!C294</f>
        <v>518</v>
      </c>
      <c r="D294" s="246">
        <f>RFS!W294</f>
        <v>1020321.7051938189</v>
      </c>
      <c r="E294" s="262"/>
      <c r="F294" s="268">
        <f t="shared" si="36"/>
        <v>1969.7330216096889</v>
      </c>
      <c r="G294" s="262">
        <f t="shared" si="43"/>
        <v>-1458.6589825441965</v>
      </c>
      <c r="H294" s="269">
        <f t="shared" si="37"/>
        <v>-604468.28236631502</v>
      </c>
      <c r="I294" s="241"/>
      <c r="J294" s="233">
        <f t="shared" si="40"/>
        <v>3136.6602076450463</v>
      </c>
      <c r="K294" s="262">
        <f t="shared" si="38"/>
        <v>0</v>
      </c>
      <c r="L294" s="269">
        <f t="shared" si="41"/>
        <v>0</v>
      </c>
      <c r="M294" s="262"/>
      <c r="N294" s="271">
        <f>Données!S294</f>
        <v>54010</v>
      </c>
      <c r="O294" s="271">
        <f>Données!T294</f>
        <v>0</v>
      </c>
      <c r="P294" s="271">
        <f>Données!U294</f>
        <v>42701.15</v>
      </c>
      <c r="Q294" s="246">
        <f>Données!V294</f>
        <v>18214.7</v>
      </c>
      <c r="R294" s="233">
        <f t="shared" si="39"/>
        <v>53819.985000000001</v>
      </c>
      <c r="S294" s="250">
        <f t="shared" si="44"/>
        <v>-102219.57680260719</v>
      </c>
      <c r="T294" s="251">
        <f t="shared" si="42"/>
        <v>-48399.591802607189</v>
      </c>
    </row>
    <row r="295" spans="1:20" x14ac:dyDescent="0.25">
      <c r="A295" s="108">
        <f>Données!A295</f>
        <v>5932</v>
      </c>
      <c r="B295" s="120" t="str">
        <f>Données!B295</f>
        <v>Ursins</v>
      </c>
      <c r="C295" s="249">
        <f>Données!C295</f>
        <v>227</v>
      </c>
      <c r="D295" s="246">
        <f>RFS!W295</f>
        <v>688333.34798443783</v>
      </c>
      <c r="E295" s="262"/>
      <c r="F295" s="268">
        <f t="shared" si="36"/>
        <v>3032.3054977288011</v>
      </c>
      <c r="G295" s="262">
        <f t="shared" si="43"/>
        <v>-396.08650642508428</v>
      </c>
      <c r="H295" s="269">
        <f t="shared" si="37"/>
        <v>-71929.309566795302</v>
      </c>
      <c r="I295" s="241"/>
      <c r="J295" s="233">
        <f t="shared" si="40"/>
        <v>3349.1747028688687</v>
      </c>
      <c r="K295" s="262">
        <f t="shared" si="38"/>
        <v>0</v>
      </c>
      <c r="L295" s="269">
        <f t="shared" si="41"/>
        <v>0</v>
      </c>
      <c r="M295" s="262"/>
      <c r="N295" s="271">
        <f>Données!S295</f>
        <v>19736.849999999999</v>
      </c>
      <c r="O295" s="271">
        <f>Données!T295</f>
        <v>0</v>
      </c>
      <c r="P295" s="271">
        <f>Données!U295</f>
        <v>21752.400000000001</v>
      </c>
      <c r="Q295" s="246">
        <f>Données!V295</f>
        <v>0</v>
      </c>
      <c r="R295" s="233">
        <f t="shared" si="39"/>
        <v>20744.625</v>
      </c>
      <c r="S295" s="250">
        <f t="shared" si="44"/>
        <v>-44795.06551002284</v>
      </c>
      <c r="T295" s="251">
        <f t="shared" si="42"/>
        <v>-24050.44051002284</v>
      </c>
    </row>
    <row r="296" spans="1:20" x14ac:dyDescent="0.25">
      <c r="A296" s="108">
        <f>Données!A296</f>
        <v>5933</v>
      </c>
      <c r="B296" s="120" t="str">
        <f>Données!B296</f>
        <v>Valeyres-sous-Montagny</v>
      </c>
      <c r="C296" s="249">
        <f>Données!C296</f>
        <v>717</v>
      </c>
      <c r="D296" s="246">
        <f>RFS!W296</f>
        <v>1750505.6373417424</v>
      </c>
      <c r="E296" s="262"/>
      <c r="F296" s="268">
        <f t="shared" si="36"/>
        <v>2441.4304565435737</v>
      </c>
      <c r="G296" s="262">
        <f t="shared" si="43"/>
        <v>-986.96154761031175</v>
      </c>
      <c r="H296" s="269">
        <f t="shared" si="37"/>
        <v>-566121.14370927482</v>
      </c>
      <c r="I296" s="241"/>
      <c r="J296" s="233">
        <f t="shared" si="40"/>
        <v>3230.9996946318233</v>
      </c>
      <c r="K296" s="262">
        <f t="shared" si="38"/>
        <v>0</v>
      </c>
      <c r="L296" s="269">
        <f t="shared" si="41"/>
        <v>0</v>
      </c>
      <c r="M296" s="262"/>
      <c r="N296" s="271">
        <f>Données!S296</f>
        <v>77400.399999999994</v>
      </c>
      <c r="O296" s="271">
        <f>Données!T296</f>
        <v>9.1999999999999993</v>
      </c>
      <c r="P296" s="271">
        <f>Données!U296</f>
        <v>57231.05</v>
      </c>
      <c r="Q296" s="246">
        <f>Données!V296</f>
        <v>24760.85</v>
      </c>
      <c r="R296" s="233">
        <f t="shared" si="39"/>
        <v>74748.58</v>
      </c>
      <c r="S296" s="250">
        <f t="shared" si="44"/>
        <v>-141489.25978275939</v>
      </c>
      <c r="T296" s="251">
        <f t="shared" si="42"/>
        <v>-66740.679782759384</v>
      </c>
    </row>
    <row r="297" spans="1:20" x14ac:dyDescent="0.25">
      <c r="A297" s="108">
        <f>Données!A297</f>
        <v>5934</v>
      </c>
      <c r="B297" s="120" t="str">
        <f>Données!B297</f>
        <v>Valeyres-sous-Ursins</v>
      </c>
      <c r="C297" s="249">
        <f>Données!C297</f>
        <v>225</v>
      </c>
      <c r="D297" s="246">
        <f>RFS!W297</f>
        <v>468919.84559746948</v>
      </c>
      <c r="E297" s="262"/>
      <c r="F297" s="268">
        <f t="shared" si="36"/>
        <v>2084.08820265542</v>
      </c>
      <c r="G297" s="262">
        <f t="shared" si="43"/>
        <v>-1344.3038014984654</v>
      </c>
      <c r="H297" s="269">
        <f>G297*$G$6*C297</f>
        <v>-241974.68426972377</v>
      </c>
      <c r="I297" s="241"/>
      <c r="J297" s="233">
        <f t="shared" si="40"/>
        <v>3159.5312438541919</v>
      </c>
      <c r="K297" s="262">
        <f t="shared" si="38"/>
        <v>0</v>
      </c>
      <c r="L297" s="269">
        <f t="shared" si="41"/>
        <v>0</v>
      </c>
      <c r="M297" s="262"/>
      <c r="N297" s="271">
        <f>Données!S297</f>
        <v>9432.5</v>
      </c>
      <c r="O297" s="271">
        <f>Données!T297</f>
        <v>3795</v>
      </c>
      <c r="P297" s="271">
        <f>Données!U297</f>
        <v>1125</v>
      </c>
      <c r="Q297" s="246">
        <f>Données!V297</f>
        <v>0</v>
      </c>
      <c r="R297" s="233">
        <f t="shared" si="39"/>
        <v>7176.25</v>
      </c>
      <c r="S297" s="250">
        <f t="shared" si="44"/>
        <v>-44400.395329317798</v>
      </c>
      <c r="T297" s="251">
        <f t="shared" si="42"/>
        <v>-37224.145329317798</v>
      </c>
    </row>
    <row r="298" spans="1:20" x14ac:dyDescent="0.25">
      <c r="A298" s="108">
        <f>Données!A298</f>
        <v>5935</v>
      </c>
      <c r="B298" s="120" t="str">
        <f>Données!B298</f>
        <v>Villars-Epeney</v>
      </c>
      <c r="C298" s="249">
        <f>Données!C298</f>
        <v>109</v>
      </c>
      <c r="D298" s="246">
        <f>RFS!W298</f>
        <v>441334.79931376741</v>
      </c>
      <c r="E298" s="262"/>
      <c r="F298" s="268">
        <f t="shared" si="36"/>
        <v>4048.943112970343</v>
      </c>
      <c r="G298" s="262">
        <f t="shared" si="43"/>
        <v>620.5511088164576</v>
      </c>
      <c r="H298" s="269">
        <f t="shared" si="37"/>
        <v>54112.056688795099</v>
      </c>
      <c r="I298" s="241"/>
      <c r="J298" s="233">
        <f t="shared" si="40"/>
        <v>3552.5022259171769</v>
      </c>
      <c r="K298" s="262">
        <f t="shared" si="38"/>
        <v>0</v>
      </c>
      <c r="L298" s="269">
        <f t="shared" si="41"/>
        <v>0</v>
      </c>
      <c r="M298" s="262"/>
      <c r="N298" s="271">
        <f>Données!S298</f>
        <v>30250</v>
      </c>
      <c r="O298" s="271">
        <f>Données!T298</f>
        <v>0</v>
      </c>
      <c r="P298" s="271">
        <f>Données!U298</f>
        <v>42369.45</v>
      </c>
      <c r="Q298" s="246">
        <f>Données!V298</f>
        <v>0</v>
      </c>
      <c r="R298" s="233">
        <f t="shared" si="39"/>
        <v>36309.724999999999</v>
      </c>
      <c r="S298" s="250">
        <f t="shared" si="44"/>
        <v>-21509.524848425066</v>
      </c>
      <c r="T298" s="251">
        <f t="shared" si="42"/>
        <v>14800.200151574933</v>
      </c>
    </row>
    <row r="299" spans="1:20" x14ac:dyDescent="0.25">
      <c r="A299" s="108">
        <f>Données!A299</f>
        <v>5937</v>
      </c>
      <c r="B299" s="120" t="str">
        <f>Données!B299</f>
        <v>Vugelles-La Mothe</v>
      </c>
      <c r="C299" s="249">
        <f>Données!C299</f>
        <v>142</v>
      </c>
      <c r="D299" s="246">
        <f>RFS!W299</f>
        <v>233725.25247804273</v>
      </c>
      <c r="E299" s="262"/>
      <c r="F299" s="268">
        <f t="shared" si="36"/>
        <v>1645.9524822397375</v>
      </c>
      <c r="G299" s="262">
        <f t="shared" si="43"/>
        <v>-1782.4395219141479</v>
      </c>
      <c r="H299" s="269">
        <f t="shared" si="37"/>
        <v>-202485.1296894472</v>
      </c>
      <c r="I299" s="241"/>
      <c r="J299" s="233">
        <f t="shared" si="40"/>
        <v>3071.9040997710563</v>
      </c>
      <c r="K299" s="262">
        <f t="shared" si="38"/>
        <v>-13.648703967440724</v>
      </c>
      <c r="L299" s="269">
        <f t="shared" si="41"/>
        <v>-1938</v>
      </c>
      <c r="M299" s="262"/>
      <c r="N299" s="271">
        <f>Données!S299</f>
        <v>0</v>
      </c>
      <c r="O299" s="271">
        <f>Données!T299</f>
        <v>0</v>
      </c>
      <c r="P299" s="271">
        <f>Données!U299</f>
        <v>0</v>
      </c>
      <c r="Q299" s="246">
        <f>Données!V299</f>
        <v>2693.45</v>
      </c>
      <c r="R299" s="233">
        <f t="shared" si="39"/>
        <v>808.03499999999997</v>
      </c>
      <c r="S299" s="250">
        <f t="shared" si="44"/>
        <v>-28021.582830058342</v>
      </c>
      <c r="T299" s="251">
        <f t="shared" si="42"/>
        <v>-27213.547830058342</v>
      </c>
    </row>
    <row r="300" spans="1:20" x14ac:dyDescent="0.25">
      <c r="A300" s="108">
        <f>Données!A300</f>
        <v>5938</v>
      </c>
      <c r="B300" s="120" t="str">
        <f>Données!B300</f>
        <v>Yverdon-les-Bains</v>
      </c>
      <c r="C300" s="249">
        <f>Données!C300</f>
        <v>30600</v>
      </c>
      <c r="D300" s="246">
        <f>RFS!W300</f>
        <v>53895970.680003725</v>
      </c>
      <c r="E300" s="262"/>
      <c r="F300" s="268">
        <f t="shared" si="36"/>
        <v>1761.3062313726707</v>
      </c>
      <c r="G300" s="262">
        <f t="shared" si="43"/>
        <v>-1667.0857727812147</v>
      </c>
      <c r="H300" s="269">
        <f t="shared" si="37"/>
        <v>-40810259.717684142</v>
      </c>
      <c r="I300" s="241"/>
      <c r="J300" s="233">
        <f t="shared" si="40"/>
        <v>3094.9748495976428</v>
      </c>
      <c r="K300" s="262">
        <f t="shared" si="38"/>
        <v>0</v>
      </c>
      <c r="L300" s="269">
        <f t="shared" si="41"/>
        <v>0</v>
      </c>
      <c r="M300" s="262"/>
      <c r="N300" s="271">
        <f>Données!S300</f>
        <v>1387528.25</v>
      </c>
      <c r="O300" s="271">
        <f>Données!T300</f>
        <v>1431554.4</v>
      </c>
      <c r="P300" s="271">
        <f>Données!U300</f>
        <v>3646514.1500000004</v>
      </c>
      <c r="Q300" s="246">
        <f>Données!V300</f>
        <v>7963901.5</v>
      </c>
      <c r="R300" s="233">
        <f t="shared" si="39"/>
        <v>5621968.8499999996</v>
      </c>
      <c r="S300" s="250">
        <f t="shared" si="44"/>
        <v>-6038453.7647872204</v>
      </c>
      <c r="T300" s="251">
        <f t="shared" si="42"/>
        <v>-416484.91478722077</v>
      </c>
    </row>
    <row r="301" spans="1:20" x14ac:dyDescent="0.25">
      <c r="A301" s="110">
        <f>Données!A301</f>
        <v>5939</v>
      </c>
      <c r="B301" s="121" t="str">
        <f>Données!B301</f>
        <v>Yvonand</v>
      </c>
      <c r="C301" s="272">
        <f>Données!C301</f>
        <v>3536</v>
      </c>
      <c r="D301" s="273">
        <f>RFS!W301</f>
        <v>6470261.5092107225</v>
      </c>
      <c r="E301" s="262"/>
      <c r="F301" s="274">
        <f t="shared" si="36"/>
        <v>1829.8250874464713</v>
      </c>
      <c r="G301" s="275">
        <f t="shared" si="43"/>
        <v>-1598.5669167074141</v>
      </c>
      <c r="H301" s="260">
        <f t="shared" si="37"/>
        <v>-4522026.0939819328</v>
      </c>
      <c r="I301" s="241"/>
      <c r="J301" s="255">
        <f t="shared" si="40"/>
        <v>3108.6786208124026</v>
      </c>
      <c r="K301" s="275">
        <f t="shared" si="38"/>
        <v>0</v>
      </c>
      <c r="L301" s="260">
        <f t="shared" si="41"/>
        <v>0</v>
      </c>
      <c r="M301" s="262"/>
      <c r="N301" s="271">
        <f>Données!S301</f>
        <v>224610.05</v>
      </c>
      <c r="O301" s="271">
        <f>Données!T301</f>
        <v>612161.4</v>
      </c>
      <c r="P301" s="271">
        <f>Données!U301</f>
        <v>272710.95</v>
      </c>
      <c r="Q301" s="246">
        <f>Données!V301</f>
        <v>260626.8</v>
      </c>
      <c r="R301" s="255">
        <f t="shared" si="39"/>
        <v>632929.24</v>
      </c>
      <c r="S301" s="256">
        <f t="shared" si="44"/>
        <v>-697776.87948652322</v>
      </c>
      <c r="T301" s="257">
        <f t="shared" si="42"/>
        <v>-64847.639486523229</v>
      </c>
    </row>
    <row r="302" spans="1:20" x14ac:dyDescent="0.25">
      <c r="A302" s="502" t="s">
        <v>25</v>
      </c>
      <c r="B302" s="503"/>
      <c r="C302" s="255">
        <f>SUM(C8:C301)</f>
        <v>864226</v>
      </c>
      <c r="D302" s="255">
        <f>SUM(D8:D301)</f>
        <v>2962905508.1818957</v>
      </c>
      <c r="E302" s="262"/>
      <c r="F302" s="274">
        <f>D302/C302</f>
        <v>3428.3920041538854</v>
      </c>
      <c r="G302" s="255" t="s">
        <v>26</v>
      </c>
      <c r="H302" s="260">
        <f>SUM(H8:H301)</f>
        <v>1.1511147022247314E-6</v>
      </c>
      <c r="I302" s="241"/>
      <c r="J302" s="255">
        <f>SUMPRODUCT(J8:J301,C8:C301)/C302</f>
        <v>3428.3920041538863</v>
      </c>
      <c r="K302" s="255" t="s">
        <v>26</v>
      </c>
      <c r="L302" s="260">
        <f>SUM(L8:L301)</f>
        <v>-2657972</v>
      </c>
      <c r="M302" s="262"/>
      <c r="N302" s="259">
        <f t="shared" ref="N302:P302" si="45">SUM(N8:N301)</f>
        <v>118884569.04999998</v>
      </c>
      <c r="O302" s="259">
        <f t="shared" si="45"/>
        <v>73488826.500000015</v>
      </c>
      <c r="P302" s="259">
        <f t="shared" si="45"/>
        <v>87379673.850000054</v>
      </c>
      <c r="Q302" s="259">
        <f>SUM(Q8:Q301)</f>
        <v>103718603.65000001</v>
      </c>
      <c r="R302" s="255">
        <f>SUM(R8:R301)</f>
        <v>170992115.79500002</v>
      </c>
      <c r="S302" s="255">
        <f>SUM(S8:S301)</f>
        <v>-170542115.79500011</v>
      </c>
      <c r="T302" s="277">
        <f>SUM(T8:T301)</f>
        <v>449999.99999998952</v>
      </c>
    </row>
    <row r="303" spans="1:20" x14ac:dyDescent="0.25">
      <c r="H303" s="15"/>
    </row>
  </sheetData>
  <sheetProtection sheet="1" objects="1" scenarios="1"/>
  <mergeCells count="11">
    <mergeCell ref="F2:G2"/>
    <mergeCell ref="A302:B302"/>
    <mergeCell ref="F3:H4"/>
    <mergeCell ref="D1:E1"/>
    <mergeCell ref="N3:T4"/>
    <mergeCell ref="N5:Q5"/>
    <mergeCell ref="A6:A7"/>
    <mergeCell ref="B6:B7"/>
    <mergeCell ref="C6:C7"/>
    <mergeCell ref="D6:D7"/>
    <mergeCell ref="J3:L4"/>
  </mergeCells>
  <conditionalFormatting sqref="D8:E301">
    <cfRule type="cellIs" dxfId="46" priority="59" operator="lessThan">
      <formula>#REF!</formula>
    </cfRule>
  </conditionalFormatting>
  <conditionalFormatting sqref="H6">
    <cfRule type="cellIs" dxfId="45" priority="9" operator="equal">
      <formula>"ERREUR"</formula>
    </cfRule>
    <cfRule type="cellIs" dxfId="44" priority="10" operator="equal">
      <formula>"OK"</formula>
    </cfRule>
  </conditionalFormatting>
  <conditionalFormatting sqref="T6">
    <cfRule type="cellIs" dxfId="43" priority="3" operator="equal">
      <formula>$S$6</formula>
    </cfRule>
    <cfRule type="cellIs" dxfId="42" priority="4" operator="notEqual">
      <formula>$S$6</formula>
    </cfRule>
  </conditionalFormatting>
  <hyperlinks>
    <hyperlink ref="D1:E1" location="RFS!A1" display="← Précédent" xr:uid="{C00B40A9-F3C7-4FCF-9810-417935930D0E}"/>
    <hyperlink ref="F1" location="'Table des matières'!A1" display="Table des matières" xr:uid="{E499C7C6-5E34-448D-8D9C-DFC13C549E84}"/>
    <hyperlink ref="G1" location="'Besoins structurels'!A1" display="Suivant →" xr:uid="{907C2DB0-78F2-4FBA-B9FB-6FE7A21FF50F}"/>
  </hyperlinks>
  <pageMargins left="0.70866141732283472" right="0.70866141732283472" top="0.74803149606299213" bottom="0.74803149606299213" header="0.31496062992125984" footer="0.31496062992125984"/>
  <pageSetup paperSize="9" scale="45"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B6C21-47FB-43A2-B89C-DBA09E4D3DB1}">
  <sheetPr codeName="Feuil8">
    <tabColor rgb="FFCCECFF"/>
    <pageSetUpPr autoPageBreaks="0"/>
  </sheetPr>
  <dimension ref="A1:Y303"/>
  <sheetViews>
    <sheetView zoomScale="90" zoomScaleNormal="90" workbookViewId="0">
      <pane ySplit="7" topLeftCell="A8" activePane="bottomLeft" state="frozen"/>
      <selection pane="bottomLeft"/>
    </sheetView>
  </sheetViews>
  <sheetFormatPr baseColWidth="10" defaultRowHeight="15" x14ac:dyDescent="0.25"/>
  <cols>
    <col min="1" max="1" width="7.140625" style="1" customWidth="1"/>
    <col min="2" max="2" width="23.28515625" style="1" customWidth="1"/>
    <col min="3" max="3" width="12.140625" style="1" customWidth="1"/>
    <col min="4" max="4" width="4.28515625" style="1" customWidth="1"/>
    <col min="5" max="7" width="11.42578125" style="1" customWidth="1"/>
    <col min="8" max="8" width="14" style="1" customWidth="1"/>
    <col min="9" max="9" width="14.140625" style="1" customWidth="1"/>
    <col min="10" max="10" width="4.28515625" style="1" customWidth="1"/>
    <col min="11" max="11" width="11.42578125" style="1" customWidth="1"/>
    <col min="12" max="13" width="16.85546875" style="1" customWidth="1"/>
    <col min="14" max="14" width="15.28515625" style="1" customWidth="1"/>
    <col min="15" max="15" width="4.28515625" style="1" customWidth="1"/>
    <col min="16" max="16" width="9.28515625" style="1" customWidth="1"/>
    <col min="17" max="17" width="9.85546875" style="1" customWidth="1"/>
    <col min="18" max="18" width="10.5703125" style="1" customWidth="1"/>
    <col min="19" max="19" width="11.85546875" style="1" customWidth="1"/>
    <col min="20" max="20" width="15.7109375" style="1" customWidth="1"/>
    <col min="21" max="21" width="14.28515625" style="1" customWidth="1"/>
    <col min="22" max="22" width="14.5703125" style="1" customWidth="1"/>
    <col min="23" max="23" width="5.28515625" style="1" customWidth="1"/>
    <col min="24" max="24" width="13.140625" style="1" customWidth="1"/>
    <col min="25" max="25" width="12.85546875" style="1" customWidth="1"/>
    <col min="26" max="26" width="4.28515625" style="1" customWidth="1"/>
    <col min="27" max="27" width="13.7109375" style="1" customWidth="1"/>
    <col min="28" max="16384" width="11.42578125" style="1"/>
  </cols>
  <sheetData>
    <row r="1" spans="1:25" ht="27" customHeight="1" x14ac:dyDescent="0.4">
      <c r="A1" s="10" t="s">
        <v>32</v>
      </c>
      <c r="F1" s="95" t="s">
        <v>441</v>
      </c>
      <c r="G1" s="97" t="s">
        <v>442</v>
      </c>
      <c r="H1" s="98" t="s">
        <v>443</v>
      </c>
      <c r="I1" s="77"/>
      <c r="J1" s="4"/>
      <c r="L1" s="56"/>
      <c r="O1" s="4"/>
    </row>
    <row r="2" spans="1:25" ht="15" customHeight="1" x14ac:dyDescent="0.25">
      <c r="A2" s="46" t="str">
        <f>_xlfn.CONCAT(Paramètres!M5," ",Paramètres!N5)</f>
        <v>Décompte prévisionnel 2027</v>
      </c>
      <c r="I2" s="2" t="str">
        <f>_xlfn.CONCAT(COUNTIF(I8:I301,"&lt;0")," communes")</f>
        <v>131 communes</v>
      </c>
      <c r="J2" s="4"/>
      <c r="M2" s="23"/>
      <c r="N2" s="78" t="str">
        <f>_xlfn.CONCAT(COUNTIF(N8:N301,"&lt;0")," communes")</f>
        <v>98 communes</v>
      </c>
      <c r="O2" s="6"/>
      <c r="V2" s="2" t="str">
        <f>_xlfn.CONCAT(COUNTIF(V8:V301,"&lt;0")," communes")</f>
        <v>99 communes</v>
      </c>
    </row>
    <row r="3" spans="1:25" ht="15" customHeight="1" x14ac:dyDescent="0.25">
      <c r="A3" s="535" t="s">
        <v>488</v>
      </c>
      <c r="B3" s="536"/>
      <c r="C3" s="539">
        <f>I302+N302+V302</f>
        <v>-29499977</v>
      </c>
      <c r="D3" s="29"/>
      <c r="E3" s="542" t="s">
        <v>30</v>
      </c>
      <c r="F3" s="543"/>
      <c r="G3" s="544"/>
      <c r="H3" s="144" t="s">
        <v>46</v>
      </c>
      <c r="I3" s="126">
        <f>Paramètres!G5</f>
        <v>1.2</v>
      </c>
      <c r="J3" s="6"/>
      <c r="K3" s="551" t="s">
        <v>414</v>
      </c>
      <c r="L3" s="552"/>
      <c r="M3" s="468" t="s">
        <v>416</v>
      </c>
      <c r="N3" s="541" t="str">
        <f>_xlfn.CONCAT(Paramètres!G13," m")</f>
        <v>730 m</v>
      </c>
      <c r="O3" s="20"/>
      <c r="P3" s="542" t="s">
        <v>43</v>
      </c>
      <c r="Q3" s="543"/>
      <c r="R3" s="543"/>
      <c r="S3" s="543"/>
      <c r="T3" s="544"/>
      <c r="U3" s="72" t="s">
        <v>46</v>
      </c>
      <c r="V3" s="128">
        <f>Paramètres!G17</f>
        <v>1.2</v>
      </c>
    </row>
    <row r="4" spans="1:25" ht="15" customHeight="1" x14ac:dyDescent="0.25">
      <c r="A4" s="537"/>
      <c r="B4" s="538"/>
      <c r="C4" s="540"/>
      <c r="E4" s="545"/>
      <c r="F4" s="546"/>
      <c r="G4" s="547"/>
      <c r="H4" s="183" t="s">
        <v>47</v>
      </c>
      <c r="I4" s="357">
        <f>MEDIAN(F8:F301)*I3</f>
        <v>0.75011583011583005</v>
      </c>
      <c r="J4" s="20"/>
      <c r="K4" s="553"/>
      <c r="L4" s="554"/>
      <c r="M4" s="468"/>
      <c r="N4" s="541"/>
      <c r="O4" s="14"/>
      <c r="P4" s="545"/>
      <c r="Q4" s="546"/>
      <c r="R4" s="546"/>
      <c r="S4" s="546"/>
      <c r="T4" s="547"/>
      <c r="U4" s="144" t="s">
        <v>48</v>
      </c>
      <c r="V4" s="357">
        <f>R302/C302*V3</f>
        <v>0.13619631901840487</v>
      </c>
    </row>
    <row r="5" spans="1:25" ht="15" customHeight="1" x14ac:dyDescent="0.25">
      <c r="A5" s="223"/>
      <c r="B5" s="223"/>
      <c r="C5" s="29"/>
      <c r="E5" s="548"/>
      <c r="F5" s="549"/>
      <c r="G5" s="550"/>
      <c r="H5" s="183" t="s">
        <v>28</v>
      </c>
      <c r="I5" s="125">
        <f>Paramètres!G7</f>
        <v>106.92383778437191</v>
      </c>
      <c r="J5" s="4"/>
      <c r="K5" s="555"/>
      <c r="L5" s="556"/>
      <c r="M5" s="144" t="s">
        <v>28</v>
      </c>
      <c r="N5" s="127">
        <f>Paramètres!G12</f>
        <v>588.08110781404548</v>
      </c>
      <c r="O5" s="4"/>
      <c r="P5" s="548"/>
      <c r="Q5" s="549"/>
      <c r="R5" s="549"/>
      <c r="S5" s="549"/>
      <c r="T5" s="550"/>
      <c r="U5" s="144" t="s">
        <v>28</v>
      </c>
      <c r="V5" s="125">
        <f>Paramètres!G19</f>
        <v>4276.9535113748761</v>
      </c>
    </row>
    <row r="6" spans="1:25" ht="15" customHeight="1" x14ac:dyDescent="0.25">
      <c r="A6" s="528" t="s">
        <v>0</v>
      </c>
      <c r="B6" s="528" t="s">
        <v>1</v>
      </c>
      <c r="C6" s="491" t="s">
        <v>29</v>
      </c>
      <c r="D6" s="5"/>
      <c r="E6" s="530" t="s">
        <v>30</v>
      </c>
      <c r="F6" s="530" t="s">
        <v>433</v>
      </c>
      <c r="G6" s="530" t="s">
        <v>52</v>
      </c>
      <c r="H6" s="530" t="s">
        <v>45</v>
      </c>
      <c r="I6" s="530" t="s">
        <v>483</v>
      </c>
      <c r="J6" s="5"/>
      <c r="K6" s="530" t="s">
        <v>414</v>
      </c>
      <c r="L6" s="530" t="s">
        <v>571</v>
      </c>
      <c r="M6" s="530" t="s">
        <v>560</v>
      </c>
      <c r="N6" s="530" t="s">
        <v>483</v>
      </c>
      <c r="O6" s="5"/>
      <c r="P6" s="129">
        <v>1</v>
      </c>
      <c r="Q6" s="130">
        <f>Paramètres!G20</f>
        <v>0.15</v>
      </c>
      <c r="R6" s="530" t="s">
        <v>43</v>
      </c>
      <c r="S6" s="530" t="s">
        <v>434</v>
      </c>
      <c r="T6" s="530" t="s">
        <v>53</v>
      </c>
      <c r="U6" s="530" t="s">
        <v>561</v>
      </c>
      <c r="V6" s="530" t="s">
        <v>483</v>
      </c>
      <c r="W6" s="558" t="s">
        <v>536</v>
      </c>
      <c r="X6" s="532" t="s">
        <v>576</v>
      </c>
      <c r="Y6" s="532" t="s">
        <v>577</v>
      </c>
    </row>
    <row r="7" spans="1:25" ht="37.5" customHeight="1" x14ac:dyDescent="0.25">
      <c r="A7" s="529"/>
      <c r="B7" s="529"/>
      <c r="C7" s="492"/>
      <c r="D7" s="21"/>
      <c r="E7" s="531"/>
      <c r="F7" s="531"/>
      <c r="G7" s="531"/>
      <c r="H7" s="531"/>
      <c r="I7" s="557"/>
      <c r="J7" s="5"/>
      <c r="K7" s="531"/>
      <c r="L7" s="531"/>
      <c r="M7" s="557"/>
      <c r="N7" s="557"/>
      <c r="O7" s="5"/>
      <c r="P7" s="196" t="s">
        <v>42</v>
      </c>
      <c r="Q7" s="196" t="s">
        <v>395</v>
      </c>
      <c r="R7" s="531"/>
      <c r="S7" s="531"/>
      <c r="T7" s="531"/>
      <c r="U7" s="531"/>
      <c r="V7" s="557"/>
      <c r="W7" s="558"/>
      <c r="X7" s="533"/>
      <c r="Y7" s="534"/>
    </row>
    <row r="8" spans="1:25" x14ac:dyDescent="0.25">
      <c r="A8" s="107">
        <f>Données!A8</f>
        <v>5401</v>
      </c>
      <c r="B8" s="115" t="str">
        <f>Données!B8</f>
        <v>Aigle</v>
      </c>
      <c r="C8" s="240">
        <f>Données!C8</f>
        <v>12081</v>
      </c>
      <c r="D8" s="262"/>
      <c r="E8" s="237">
        <f>Données!X8</f>
        <v>1568</v>
      </c>
      <c r="F8" s="279">
        <f t="shared" ref="F8:F69" si="0">E8/C8</f>
        <v>0.1297905802499793</v>
      </c>
      <c r="G8" s="262">
        <f t="shared" ref="G8:G69" si="1">C8*$I$4</f>
        <v>9062.1493436293422</v>
      </c>
      <c r="H8" s="266">
        <f>IF(E8&gt;G8,E8-G8,0)</f>
        <v>0</v>
      </c>
      <c r="I8" s="280">
        <f>ROUND(-H8*$I$5,0)</f>
        <v>0</v>
      </c>
      <c r="J8" s="262"/>
      <c r="K8" s="267">
        <f>Données!Y8</f>
        <v>9</v>
      </c>
      <c r="L8" s="417">
        <f>Données!Z8</f>
        <v>0.35299999999999998</v>
      </c>
      <c r="M8" s="264">
        <f t="shared" ref="M8:M69" si="2">L8*$N$5</f>
        <v>207.59263105835805</v>
      </c>
      <c r="N8" s="280">
        <f t="shared" ref="N8:N69" si="3">ROUND(-M8*K8,0)</f>
        <v>-1868</v>
      </c>
      <c r="O8" s="262"/>
      <c r="P8" s="246">
        <f>Données!AA8</f>
        <v>1479</v>
      </c>
      <c r="Q8" s="281">
        <f>Données!AB8</f>
        <v>25</v>
      </c>
      <c r="R8" s="242">
        <f>P8*$P$6+Q8*$Q$6</f>
        <v>1482.75</v>
      </c>
      <c r="S8" s="282">
        <f t="shared" ref="S8:S69" si="4">R8/C8</f>
        <v>0.12273404519493419</v>
      </c>
      <c r="T8" s="266">
        <f t="shared" ref="T8:T69" si="5">$V$4*C8</f>
        <v>1645.3877300613492</v>
      </c>
      <c r="U8" s="266">
        <f>IF(R8&gt;T8,R8-T8,0)</f>
        <v>0</v>
      </c>
      <c r="V8" s="280">
        <f>ROUND(-$V$5*U8,0)</f>
        <v>0</v>
      </c>
      <c r="W8" s="337"/>
      <c r="X8" s="242">
        <f>IF(-Q8*$Q$6*$V$5&gt;V8,-Q8*$Q$6*$V$5,V8)</f>
        <v>0</v>
      </c>
      <c r="Y8" s="243">
        <f>IF(X8&gt;V8,V8-X8,0)</f>
        <v>0</v>
      </c>
    </row>
    <row r="9" spans="1:25" ht="15" customHeight="1" x14ac:dyDescent="0.25">
      <c r="A9" s="108">
        <f>Données!A9</f>
        <v>5402</v>
      </c>
      <c r="B9" s="116" t="str">
        <f>Données!B9</f>
        <v>Bex</v>
      </c>
      <c r="C9" s="249">
        <f>Données!C9</f>
        <v>8923</v>
      </c>
      <c r="D9" s="262"/>
      <c r="E9" s="246">
        <f>Données!X9</f>
        <v>6400</v>
      </c>
      <c r="F9" s="283">
        <f t="shared" si="0"/>
        <v>0.71724756247898691</v>
      </c>
      <c r="G9" s="262">
        <f t="shared" si="1"/>
        <v>6693.283552123552</v>
      </c>
      <c r="H9" s="270">
        <f t="shared" ref="H9:H70" si="6">IF(E9&gt;G9,E9-G9,0)</f>
        <v>0</v>
      </c>
      <c r="I9" s="284">
        <f t="shared" ref="I9:I70" si="7">ROUND(-H9*$I$5,0)</f>
        <v>0</v>
      </c>
      <c r="J9" s="262"/>
      <c r="K9" s="271">
        <f>Données!Y9</f>
        <v>516</v>
      </c>
      <c r="L9" s="418">
        <f>Données!Z9</f>
        <v>0.7</v>
      </c>
      <c r="M9" s="262">
        <f t="shared" si="2"/>
        <v>411.65677546983181</v>
      </c>
      <c r="N9" s="284">
        <f t="shared" si="3"/>
        <v>-212415</v>
      </c>
      <c r="O9" s="262"/>
      <c r="P9" s="246">
        <f>Données!AA9</f>
        <v>1106</v>
      </c>
      <c r="Q9" s="281">
        <f>Données!AB9</f>
        <v>141</v>
      </c>
      <c r="R9" s="233">
        <f t="shared" ref="R9:R69" si="8">P9*$P$6+Q9*$Q$6</f>
        <v>1127.1500000000001</v>
      </c>
      <c r="S9" s="285">
        <f t="shared" si="4"/>
        <v>0.1263196234450297</v>
      </c>
      <c r="T9" s="270">
        <f t="shared" si="5"/>
        <v>1215.2797546012266</v>
      </c>
      <c r="U9" s="270">
        <f t="shared" ref="U9:U70" si="9">IF(R9&gt;T9,R9-T9,0)</f>
        <v>0</v>
      </c>
      <c r="V9" s="284">
        <f t="shared" ref="V9:V70" si="10">ROUND(-$V$5*U9,0)</f>
        <v>0</v>
      </c>
      <c r="W9" s="337"/>
      <c r="X9" s="233">
        <f t="shared" ref="X9:X70" si="11">IF(-Q9*$Q$6*$V$5&gt;V9,-Q9*$Q$6*$V$5,V9)</f>
        <v>0</v>
      </c>
      <c r="Y9" s="250">
        <f t="shared" ref="Y9:Y70" si="12">IF(X9&gt;V9,V9-X9,0)</f>
        <v>0</v>
      </c>
    </row>
    <row r="10" spans="1:25" x14ac:dyDescent="0.25">
      <c r="A10" s="108">
        <f>Données!A10</f>
        <v>5403</v>
      </c>
      <c r="B10" s="116" t="str">
        <f>Données!B10</f>
        <v>Chessel</v>
      </c>
      <c r="C10" s="249">
        <f>Données!C10</f>
        <v>525</v>
      </c>
      <c r="D10" s="262"/>
      <c r="E10" s="246">
        <f>Données!X10</f>
        <v>330</v>
      </c>
      <c r="F10" s="283">
        <f t="shared" si="0"/>
        <v>0.62857142857142856</v>
      </c>
      <c r="G10" s="262">
        <f t="shared" si="1"/>
        <v>393.81081081081078</v>
      </c>
      <c r="H10" s="270">
        <f t="shared" si="6"/>
        <v>0</v>
      </c>
      <c r="I10" s="284">
        <f t="shared" si="7"/>
        <v>0</v>
      </c>
      <c r="J10" s="262"/>
      <c r="K10" s="271">
        <f>Données!Y10</f>
        <v>0</v>
      </c>
      <c r="L10" s="418">
        <f>Données!Z10</f>
        <v>2.4E-2</v>
      </c>
      <c r="M10" s="262">
        <f t="shared" si="2"/>
        <v>14.113946587537091</v>
      </c>
      <c r="N10" s="284">
        <f t="shared" si="3"/>
        <v>0</v>
      </c>
      <c r="O10" s="262"/>
      <c r="P10" s="246">
        <f>Données!AA10</f>
        <v>72</v>
      </c>
      <c r="Q10" s="281">
        <f>Données!AB10</f>
        <v>58</v>
      </c>
      <c r="R10" s="233">
        <f t="shared" si="8"/>
        <v>80.7</v>
      </c>
      <c r="S10" s="285">
        <f t="shared" si="4"/>
        <v>0.15371428571428572</v>
      </c>
      <c r="T10" s="270">
        <f t="shared" si="5"/>
        <v>71.503067484662552</v>
      </c>
      <c r="U10" s="270">
        <f t="shared" si="9"/>
        <v>9.1969325153374513</v>
      </c>
      <c r="V10" s="284">
        <f t="shared" si="10"/>
        <v>-39335</v>
      </c>
      <c r="W10" s="337"/>
      <c r="X10" s="233">
        <f t="shared" si="11"/>
        <v>-37209.495548961422</v>
      </c>
      <c r="Y10" s="250">
        <f t="shared" si="12"/>
        <v>-2125.5044510385778</v>
      </c>
    </row>
    <row r="11" spans="1:25" x14ac:dyDescent="0.25">
      <c r="A11" s="108">
        <f>Données!A11</f>
        <v>5404</v>
      </c>
      <c r="B11" s="116" t="str">
        <f>Données!B11</f>
        <v>Corbeyrier</v>
      </c>
      <c r="C11" s="249">
        <f>Données!C11</f>
        <v>456</v>
      </c>
      <c r="D11" s="262"/>
      <c r="E11" s="246">
        <f>Données!X11</f>
        <v>2057</v>
      </c>
      <c r="F11" s="283">
        <f t="shared" si="0"/>
        <v>4.5109649122807021</v>
      </c>
      <c r="G11" s="262">
        <f t="shared" si="1"/>
        <v>342.05281853281849</v>
      </c>
      <c r="H11" s="270">
        <f t="shared" si="6"/>
        <v>1714.9471814671815</v>
      </c>
      <c r="I11" s="284">
        <f t="shared" si="7"/>
        <v>-183369</v>
      </c>
      <c r="J11" s="262"/>
      <c r="K11" s="271">
        <f>Données!Y11</f>
        <v>446</v>
      </c>
      <c r="L11" s="418">
        <f>Données!Z11</f>
        <v>0.66400000000000003</v>
      </c>
      <c r="M11" s="262">
        <f t="shared" si="2"/>
        <v>390.48585558852619</v>
      </c>
      <c r="N11" s="284">
        <f t="shared" si="3"/>
        <v>-174157</v>
      </c>
      <c r="O11" s="262"/>
      <c r="P11" s="246">
        <f>Données!AA11</f>
        <v>43</v>
      </c>
      <c r="Q11" s="281">
        <f>Données!AB11</f>
        <v>30</v>
      </c>
      <c r="R11" s="233">
        <f t="shared" si="8"/>
        <v>47.5</v>
      </c>
      <c r="S11" s="285">
        <f t="shared" si="4"/>
        <v>0.10416666666666667</v>
      </c>
      <c r="T11" s="270">
        <f t="shared" si="5"/>
        <v>62.105521472392624</v>
      </c>
      <c r="U11" s="270">
        <f t="shared" si="9"/>
        <v>0</v>
      </c>
      <c r="V11" s="284">
        <f t="shared" si="10"/>
        <v>0</v>
      </c>
      <c r="W11" s="337"/>
      <c r="X11" s="233">
        <f t="shared" si="11"/>
        <v>0</v>
      </c>
      <c r="Y11" s="250">
        <f t="shared" si="12"/>
        <v>0</v>
      </c>
    </row>
    <row r="12" spans="1:25" x14ac:dyDescent="0.25">
      <c r="A12" s="108">
        <f>Données!A12</f>
        <v>5405</v>
      </c>
      <c r="B12" s="116" t="str">
        <f>Données!B12</f>
        <v>Gryon</v>
      </c>
      <c r="C12" s="249">
        <f>Données!C12</f>
        <v>1546</v>
      </c>
      <c r="D12" s="262"/>
      <c r="E12" s="246">
        <f>Données!X12</f>
        <v>1404</v>
      </c>
      <c r="F12" s="283">
        <f t="shared" si="0"/>
        <v>0.90815006468305304</v>
      </c>
      <c r="G12" s="262">
        <f t="shared" si="1"/>
        <v>1159.6790733590733</v>
      </c>
      <c r="H12" s="270">
        <f t="shared" si="6"/>
        <v>244.3209266409267</v>
      </c>
      <c r="I12" s="284">
        <f t="shared" si="7"/>
        <v>-26124</v>
      </c>
      <c r="J12" s="262"/>
      <c r="K12" s="271">
        <f>Données!Y12</f>
        <v>1546</v>
      </c>
      <c r="L12" s="418">
        <f>Données!Z12</f>
        <v>0.61099999999999999</v>
      </c>
      <c r="M12" s="262">
        <f t="shared" si="2"/>
        <v>359.31755687438181</v>
      </c>
      <c r="N12" s="284">
        <f t="shared" si="3"/>
        <v>-555505</v>
      </c>
      <c r="O12" s="262"/>
      <c r="P12" s="246">
        <f>Données!AA12</f>
        <v>140</v>
      </c>
      <c r="Q12" s="281">
        <f>Données!AB12</f>
        <v>98</v>
      </c>
      <c r="R12" s="233">
        <f t="shared" si="8"/>
        <v>154.69999999999999</v>
      </c>
      <c r="S12" s="285">
        <f t="shared" si="4"/>
        <v>0.1000646830530401</v>
      </c>
      <c r="T12" s="270">
        <f t="shared" si="5"/>
        <v>210.55950920245394</v>
      </c>
      <c r="U12" s="270">
        <f t="shared" si="9"/>
        <v>0</v>
      </c>
      <c r="V12" s="284">
        <f t="shared" si="10"/>
        <v>0</v>
      </c>
      <c r="W12" s="337"/>
      <c r="X12" s="233">
        <f t="shared" si="11"/>
        <v>0</v>
      </c>
      <c r="Y12" s="250">
        <f t="shared" si="12"/>
        <v>0</v>
      </c>
    </row>
    <row r="13" spans="1:25" x14ac:dyDescent="0.25">
      <c r="A13" s="108">
        <f>Données!A13</f>
        <v>5406</v>
      </c>
      <c r="B13" s="116" t="str">
        <f>Données!B13</f>
        <v>Lavey-Morcles</v>
      </c>
      <c r="C13" s="249">
        <f>Données!C13</f>
        <v>1024</v>
      </c>
      <c r="D13" s="262"/>
      <c r="E13" s="246">
        <f>Données!X13</f>
        <v>1247</v>
      </c>
      <c r="F13" s="283">
        <f t="shared" si="0"/>
        <v>1.2177734375</v>
      </c>
      <c r="G13" s="262">
        <f t="shared" si="1"/>
        <v>768.11861003860997</v>
      </c>
      <c r="H13" s="270">
        <f t="shared" si="6"/>
        <v>478.88138996139003</v>
      </c>
      <c r="I13" s="284">
        <f t="shared" si="7"/>
        <v>-51204</v>
      </c>
      <c r="J13" s="262"/>
      <c r="K13" s="271">
        <f>Données!Y13</f>
        <v>25</v>
      </c>
      <c r="L13" s="418">
        <f>Données!Z13</f>
        <v>0.82699999999999996</v>
      </c>
      <c r="M13" s="262">
        <f t="shared" si="2"/>
        <v>486.3430761622156</v>
      </c>
      <c r="N13" s="284">
        <f t="shared" si="3"/>
        <v>-12159</v>
      </c>
      <c r="O13" s="262"/>
      <c r="P13" s="246">
        <f>Données!AA13</f>
        <v>144</v>
      </c>
      <c r="Q13" s="281">
        <f>Données!AB13</f>
        <v>5</v>
      </c>
      <c r="R13" s="233">
        <f t="shared" si="8"/>
        <v>144.75</v>
      </c>
      <c r="S13" s="285">
        <f t="shared" si="4"/>
        <v>0.141357421875</v>
      </c>
      <c r="T13" s="270">
        <f t="shared" si="5"/>
        <v>139.46503067484659</v>
      </c>
      <c r="U13" s="270">
        <f t="shared" si="9"/>
        <v>5.284969325153412</v>
      </c>
      <c r="V13" s="284">
        <f t="shared" si="10"/>
        <v>-22604</v>
      </c>
      <c r="W13" s="337"/>
      <c r="X13" s="233">
        <f t="shared" si="11"/>
        <v>-3207.7151335311573</v>
      </c>
      <c r="Y13" s="250">
        <f t="shared" si="12"/>
        <v>-19396.284866468843</v>
      </c>
    </row>
    <row r="14" spans="1:25" x14ac:dyDescent="0.25">
      <c r="A14" s="108">
        <f>Données!A14</f>
        <v>5407</v>
      </c>
      <c r="B14" s="116" t="str">
        <f>Données!B14</f>
        <v>Leysin</v>
      </c>
      <c r="C14" s="249">
        <f>Données!C14</f>
        <v>3722</v>
      </c>
      <c r="D14" s="262"/>
      <c r="E14" s="246">
        <f>Données!X14</f>
        <v>1489</v>
      </c>
      <c r="F14" s="283">
        <f t="shared" si="0"/>
        <v>0.40005373455131649</v>
      </c>
      <c r="G14" s="262">
        <f t="shared" si="1"/>
        <v>2791.9311196911194</v>
      </c>
      <c r="H14" s="270">
        <f t="shared" si="6"/>
        <v>0</v>
      </c>
      <c r="I14" s="284">
        <f t="shared" si="7"/>
        <v>0</v>
      </c>
      <c r="J14" s="262"/>
      <c r="K14" s="271">
        <f>Données!Y14</f>
        <v>3722</v>
      </c>
      <c r="L14" s="418">
        <f>Données!Z14</f>
        <v>0.70199999999999996</v>
      </c>
      <c r="M14" s="262">
        <f t="shared" si="2"/>
        <v>412.83293768545991</v>
      </c>
      <c r="N14" s="284">
        <f t="shared" si="3"/>
        <v>-1536564</v>
      </c>
      <c r="O14" s="262"/>
      <c r="P14" s="246">
        <f>Données!AA14</f>
        <v>296</v>
      </c>
      <c r="Q14" s="281">
        <f>Données!AB14</f>
        <v>86</v>
      </c>
      <c r="R14" s="233">
        <f t="shared" si="8"/>
        <v>308.89999999999998</v>
      </c>
      <c r="S14" s="285">
        <f t="shared" si="4"/>
        <v>8.2993014508328855E-2</v>
      </c>
      <c r="T14" s="270">
        <f t="shared" si="5"/>
        <v>506.92269938650293</v>
      </c>
      <c r="U14" s="270">
        <f t="shared" si="9"/>
        <v>0</v>
      </c>
      <c r="V14" s="284">
        <f t="shared" si="10"/>
        <v>0</v>
      </c>
      <c r="W14" s="337"/>
      <c r="X14" s="233">
        <f t="shared" si="11"/>
        <v>0</v>
      </c>
      <c r="Y14" s="250">
        <f t="shared" si="12"/>
        <v>0</v>
      </c>
    </row>
    <row r="15" spans="1:25" x14ac:dyDescent="0.25">
      <c r="A15" s="108">
        <f>Données!A15</f>
        <v>5408</v>
      </c>
      <c r="B15" s="116" t="str">
        <f>Données!B15</f>
        <v>Noville</v>
      </c>
      <c r="C15" s="249">
        <f>Données!C15</f>
        <v>1214</v>
      </c>
      <c r="D15" s="262"/>
      <c r="E15" s="246">
        <f>Données!X15</f>
        <v>886</v>
      </c>
      <c r="F15" s="283">
        <f t="shared" si="0"/>
        <v>0.72981878088962104</v>
      </c>
      <c r="G15" s="262">
        <f t="shared" si="1"/>
        <v>910.64061776061772</v>
      </c>
      <c r="H15" s="270">
        <f t="shared" si="6"/>
        <v>0</v>
      </c>
      <c r="I15" s="284">
        <f t="shared" si="7"/>
        <v>0</v>
      </c>
      <c r="J15" s="262"/>
      <c r="K15" s="271">
        <f>Données!Y15</f>
        <v>0</v>
      </c>
      <c r="L15" s="418">
        <f>Données!Z15</f>
        <v>0.01</v>
      </c>
      <c r="M15" s="262">
        <f t="shared" si="2"/>
        <v>5.8808110781404546</v>
      </c>
      <c r="N15" s="284">
        <f t="shared" si="3"/>
        <v>0</v>
      </c>
      <c r="O15" s="262"/>
      <c r="P15" s="246">
        <f>Données!AA15</f>
        <v>156</v>
      </c>
      <c r="Q15" s="281">
        <f>Données!AB15</f>
        <v>75</v>
      </c>
      <c r="R15" s="233">
        <f t="shared" si="8"/>
        <v>167.25</v>
      </c>
      <c r="S15" s="285">
        <f t="shared" si="4"/>
        <v>0.1377677100494234</v>
      </c>
      <c r="T15" s="270">
        <f t="shared" si="5"/>
        <v>165.3423312883435</v>
      </c>
      <c r="U15" s="270">
        <f t="shared" si="9"/>
        <v>1.9076687116564983</v>
      </c>
      <c r="V15" s="284">
        <f t="shared" si="10"/>
        <v>-8159</v>
      </c>
      <c r="W15" s="337"/>
      <c r="X15" s="233">
        <f t="shared" si="11"/>
        <v>-8159</v>
      </c>
      <c r="Y15" s="250">
        <f t="shared" si="12"/>
        <v>0</v>
      </c>
    </row>
    <row r="16" spans="1:25" x14ac:dyDescent="0.25">
      <c r="A16" s="108">
        <f>Données!A16</f>
        <v>5409</v>
      </c>
      <c r="B16" s="116" t="str">
        <f>Données!B16</f>
        <v>Ollon</v>
      </c>
      <c r="C16" s="249">
        <f>Données!C16</f>
        <v>8302</v>
      </c>
      <c r="D16" s="262"/>
      <c r="E16" s="246">
        <f>Données!X16</f>
        <v>5746</v>
      </c>
      <c r="F16" s="283">
        <f t="shared" si="0"/>
        <v>0.69212238014936156</v>
      </c>
      <c r="G16" s="262">
        <f t="shared" si="1"/>
        <v>6227.4616216216209</v>
      </c>
      <c r="H16" s="270">
        <f t="shared" si="6"/>
        <v>0</v>
      </c>
      <c r="I16" s="284">
        <f t="shared" si="7"/>
        <v>0</v>
      </c>
      <c r="J16" s="262"/>
      <c r="K16" s="271">
        <f>Données!Y16</f>
        <v>4178</v>
      </c>
      <c r="L16" s="418">
        <f>Données!Z16</f>
        <v>0.52800000000000002</v>
      </c>
      <c r="M16" s="262">
        <f t="shared" si="2"/>
        <v>310.50682492581603</v>
      </c>
      <c r="N16" s="284">
        <f t="shared" si="3"/>
        <v>-1297298</v>
      </c>
      <c r="O16" s="262"/>
      <c r="P16" s="246">
        <f>Données!AA16</f>
        <v>666</v>
      </c>
      <c r="Q16" s="281">
        <f>Données!AB16</f>
        <v>194</v>
      </c>
      <c r="R16" s="233">
        <f t="shared" si="8"/>
        <v>695.1</v>
      </c>
      <c r="S16" s="285">
        <f t="shared" si="4"/>
        <v>8.3726812816188878E-2</v>
      </c>
      <c r="T16" s="270">
        <f t="shared" si="5"/>
        <v>1130.7018404907972</v>
      </c>
      <c r="U16" s="270">
        <f t="shared" si="9"/>
        <v>0</v>
      </c>
      <c r="V16" s="284">
        <f t="shared" si="10"/>
        <v>0</v>
      </c>
      <c r="W16" s="337"/>
      <c r="X16" s="233">
        <f t="shared" si="11"/>
        <v>0</v>
      </c>
      <c r="Y16" s="250">
        <f t="shared" si="12"/>
        <v>0</v>
      </c>
    </row>
    <row r="17" spans="1:25" x14ac:dyDescent="0.25">
      <c r="A17" s="108">
        <f>Données!A17</f>
        <v>5410</v>
      </c>
      <c r="B17" s="116" t="str">
        <f>Données!B17</f>
        <v>Ormont-Dessous</v>
      </c>
      <c r="C17" s="249">
        <f>Données!C17</f>
        <v>1261</v>
      </c>
      <c r="D17" s="262"/>
      <c r="E17" s="246">
        <f>Données!X17</f>
        <v>5679</v>
      </c>
      <c r="F17" s="283">
        <f t="shared" si="0"/>
        <v>4.5035685963521015</v>
      </c>
      <c r="G17" s="262">
        <f t="shared" si="1"/>
        <v>945.89606177606174</v>
      </c>
      <c r="H17" s="270">
        <f t="shared" si="6"/>
        <v>4733.1039382239378</v>
      </c>
      <c r="I17" s="284">
        <f t="shared" si="7"/>
        <v>-506082</v>
      </c>
      <c r="J17" s="262"/>
      <c r="K17" s="271">
        <f>Données!Y17</f>
        <v>1261</v>
      </c>
      <c r="L17" s="418">
        <f>Données!Z17</f>
        <v>0.623</v>
      </c>
      <c r="M17" s="262">
        <f t="shared" si="2"/>
        <v>366.37453016815033</v>
      </c>
      <c r="N17" s="284">
        <f t="shared" si="3"/>
        <v>-461998</v>
      </c>
      <c r="O17" s="262"/>
      <c r="P17" s="246">
        <f>Données!AA17</f>
        <v>121</v>
      </c>
      <c r="Q17" s="281">
        <f>Données!AB17</f>
        <v>76</v>
      </c>
      <c r="R17" s="233">
        <f t="shared" si="8"/>
        <v>132.4</v>
      </c>
      <c r="S17" s="285">
        <f t="shared" si="4"/>
        <v>0.10499603489294211</v>
      </c>
      <c r="T17" s="270">
        <f t="shared" si="5"/>
        <v>171.74355828220854</v>
      </c>
      <c r="U17" s="270">
        <f t="shared" si="9"/>
        <v>0</v>
      </c>
      <c r="V17" s="284">
        <f t="shared" si="10"/>
        <v>0</v>
      </c>
      <c r="W17" s="337"/>
      <c r="X17" s="233">
        <f t="shared" si="11"/>
        <v>0</v>
      </c>
      <c r="Y17" s="250">
        <f t="shared" si="12"/>
        <v>0</v>
      </c>
    </row>
    <row r="18" spans="1:25" x14ac:dyDescent="0.25">
      <c r="A18" s="108">
        <f>Données!A18</f>
        <v>5411</v>
      </c>
      <c r="B18" s="116" t="str">
        <f>Données!B18</f>
        <v>Ormont-Dessus</v>
      </c>
      <c r="C18" s="249">
        <f>Données!C18</f>
        <v>1440</v>
      </c>
      <c r="D18" s="262"/>
      <c r="E18" s="246">
        <f>Données!X18</f>
        <v>4328</v>
      </c>
      <c r="F18" s="283">
        <f t="shared" si="0"/>
        <v>3.0055555555555555</v>
      </c>
      <c r="G18" s="262">
        <f t="shared" si="1"/>
        <v>1080.1667953667952</v>
      </c>
      <c r="H18" s="270">
        <f t="shared" si="6"/>
        <v>3247.8332046332048</v>
      </c>
      <c r="I18" s="284">
        <f t="shared" si="7"/>
        <v>-347271</v>
      </c>
      <c r="J18" s="262"/>
      <c r="K18" s="271">
        <f>Données!Y18</f>
        <v>1440</v>
      </c>
      <c r="L18" s="418">
        <f>Données!Z18</f>
        <v>0.72699999999999998</v>
      </c>
      <c r="M18" s="262">
        <f t="shared" si="2"/>
        <v>427.53496538081106</v>
      </c>
      <c r="N18" s="284">
        <f t="shared" si="3"/>
        <v>-615650</v>
      </c>
      <c r="O18" s="262"/>
      <c r="P18" s="246">
        <f>Données!AA18</f>
        <v>131</v>
      </c>
      <c r="Q18" s="281">
        <f>Données!AB18</f>
        <v>80</v>
      </c>
      <c r="R18" s="233">
        <f t="shared" si="8"/>
        <v>143</v>
      </c>
      <c r="S18" s="285">
        <f t="shared" si="4"/>
        <v>9.930555555555555E-2</v>
      </c>
      <c r="T18" s="270">
        <f t="shared" si="5"/>
        <v>196.122699386503</v>
      </c>
      <c r="U18" s="270">
        <f t="shared" si="9"/>
        <v>0</v>
      </c>
      <c r="V18" s="284">
        <f t="shared" si="10"/>
        <v>0</v>
      </c>
      <c r="W18" s="337"/>
      <c r="X18" s="233">
        <f t="shared" si="11"/>
        <v>0</v>
      </c>
      <c r="Y18" s="250">
        <f t="shared" si="12"/>
        <v>0</v>
      </c>
    </row>
    <row r="19" spans="1:25" x14ac:dyDescent="0.25">
      <c r="A19" s="108">
        <f>Données!A19</f>
        <v>5412</v>
      </c>
      <c r="B19" s="116" t="str">
        <f>Données!B19</f>
        <v>Rennaz</v>
      </c>
      <c r="C19" s="249">
        <f>Données!C19</f>
        <v>935</v>
      </c>
      <c r="D19" s="262"/>
      <c r="E19" s="246">
        <f>Données!X19</f>
        <v>216</v>
      </c>
      <c r="F19" s="283">
        <f t="shared" si="0"/>
        <v>0.23101604278074866</v>
      </c>
      <c r="G19" s="262">
        <f t="shared" si="1"/>
        <v>701.35830115830106</v>
      </c>
      <c r="H19" s="270">
        <f t="shared" si="6"/>
        <v>0</v>
      </c>
      <c r="I19" s="284">
        <f t="shared" si="7"/>
        <v>0</v>
      </c>
      <c r="J19" s="262"/>
      <c r="K19" s="271">
        <f>Données!Y19</f>
        <v>0</v>
      </c>
      <c r="L19" s="418">
        <f>Données!Z19</f>
        <v>0.02</v>
      </c>
      <c r="M19" s="262">
        <f t="shared" si="2"/>
        <v>11.761622156280909</v>
      </c>
      <c r="N19" s="284">
        <f t="shared" si="3"/>
        <v>0</v>
      </c>
      <c r="O19" s="262"/>
      <c r="P19" s="246">
        <f>Données!AA19</f>
        <v>120</v>
      </c>
      <c r="Q19" s="281">
        <f>Données!AB19</f>
        <v>79</v>
      </c>
      <c r="R19" s="233">
        <f t="shared" si="8"/>
        <v>131.85</v>
      </c>
      <c r="S19" s="285">
        <f t="shared" si="4"/>
        <v>0.14101604278074867</v>
      </c>
      <c r="T19" s="270">
        <f t="shared" si="5"/>
        <v>127.34355828220855</v>
      </c>
      <c r="U19" s="270">
        <f t="shared" si="9"/>
        <v>4.5064417177914464</v>
      </c>
      <c r="V19" s="284">
        <f t="shared" si="10"/>
        <v>-19274</v>
      </c>
      <c r="W19" s="337"/>
      <c r="X19" s="233">
        <f t="shared" si="11"/>
        <v>-19274</v>
      </c>
      <c r="Y19" s="250">
        <f t="shared" si="12"/>
        <v>0</v>
      </c>
    </row>
    <row r="20" spans="1:25" x14ac:dyDescent="0.25">
      <c r="A20" s="108">
        <f>Données!A20</f>
        <v>5413</v>
      </c>
      <c r="B20" s="116" t="str">
        <f>Données!B20</f>
        <v>Roche</v>
      </c>
      <c r="C20" s="249">
        <f>Données!C20</f>
        <v>2035</v>
      </c>
      <c r="D20" s="262"/>
      <c r="E20" s="246">
        <f>Données!X20</f>
        <v>617</v>
      </c>
      <c r="F20" s="283">
        <f t="shared" si="0"/>
        <v>0.30319410319410317</v>
      </c>
      <c r="G20" s="262">
        <f t="shared" si="1"/>
        <v>1526.4857142857143</v>
      </c>
      <c r="H20" s="270">
        <f t="shared" si="6"/>
        <v>0</v>
      </c>
      <c r="I20" s="284">
        <f t="shared" si="7"/>
        <v>0</v>
      </c>
      <c r="J20" s="262"/>
      <c r="K20" s="271">
        <f>Données!Y20</f>
        <v>0</v>
      </c>
      <c r="L20" s="418">
        <f>Données!Z20</f>
        <v>0.29799999999999999</v>
      </c>
      <c r="M20" s="262">
        <f t="shared" si="2"/>
        <v>175.24817012858554</v>
      </c>
      <c r="N20" s="284">
        <f t="shared" si="3"/>
        <v>0</v>
      </c>
      <c r="O20" s="262"/>
      <c r="P20" s="246">
        <f>Données!AA20</f>
        <v>305</v>
      </c>
      <c r="Q20" s="281">
        <f>Données!AB20</f>
        <v>86</v>
      </c>
      <c r="R20" s="233">
        <f t="shared" si="8"/>
        <v>317.89999999999998</v>
      </c>
      <c r="S20" s="285">
        <f t="shared" si="4"/>
        <v>0.1562162162162162</v>
      </c>
      <c r="T20" s="270">
        <f t="shared" si="5"/>
        <v>277.15950920245393</v>
      </c>
      <c r="U20" s="270">
        <f t="shared" si="9"/>
        <v>40.740490797546045</v>
      </c>
      <c r="V20" s="284">
        <f t="shared" si="10"/>
        <v>-174245</v>
      </c>
      <c r="W20" s="337"/>
      <c r="X20" s="233">
        <f t="shared" si="11"/>
        <v>-55172.7002967359</v>
      </c>
      <c r="Y20" s="250">
        <f t="shared" si="12"/>
        <v>-119072.2997032641</v>
      </c>
    </row>
    <row r="21" spans="1:25" x14ac:dyDescent="0.25">
      <c r="A21" s="108">
        <f>Données!A21</f>
        <v>5414</v>
      </c>
      <c r="B21" s="116" t="str">
        <f>Données!B21</f>
        <v>Villeneuve</v>
      </c>
      <c r="C21" s="249">
        <f>Données!C21</f>
        <v>6073</v>
      </c>
      <c r="D21" s="262"/>
      <c r="E21" s="246">
        <f>Données!X21</f>
        <v>2899</v>
      </c>
      <c r="F21" s="283">
        <f t="shared" si="0"/>
        <v>0.47735880125144081</v>
      </c>
      <c r="G21" s="262">
        <f t="shared" si="1"/>
        <v>4555.4534362934355</v>
      </c>
      <c r="H21" s="270">
        <f t="shared" si="6"/>
        <v>0</v>
      </c>
      <c r="I21" s="284">
        <f t="shared" si="7"/>
        <v>0</v>
      </c>
      <c r="J21" s="262"/>
      <c r="K21" s="271">
        <f>Données!Y21</f>
        <v>0</v>
      </c>
      <c r="L21" s="418">
        <f>Données!Z21</f>
        <v>0.82099999999999995</v>
      </c>
      <c r="M21" s="262">
        <f t="shared" si="2"/>
        <v>482.81458951533131</v>
      </c>
      <c r="N21" s="284">
        <f t="shared" si="3"/>
        <v>0</v>
      </c>
      <c r="O21" s="262"/>
      <c r="P21" s="246">
        <f>Données!AA21</f>
        <v>699</v>
      </c>
      <c r="Q21" s="281">
        <f>Données!AB21</f>
        <v>32</v>
      </c>
      <c r="R21" s="233">
        <f t="shared" si="8"/>
        <v>703.8</v>
      </c>
      <c r="S21" s="285">
        <f t="shared" si="4"/>
        <v>0.1158900049398979</v>
      </c>
      <c r="T21" s="270">
        <f t="shared" si="5"/>
        <v>827.12024539877279</v>
      </c>
      <c r="U21" s="270">
        <f t="shared" si="9"/>
        <v>0</v>
      </c>
      <c r="V21" s="284">
        <f t="shared" si="10"/>
        <v>0</v>
      </c>
      <c r="W21" s="337"/>
      <c r="X21" s="233">
        <f t="shared" si="11"/>
        <v>0</v>
      </c>
      <c r="Y21" s="250">
        <f t="shared" si="12"/>
        <v>0</v>
      </c>
    </row>
    <row r="22" spans="1:25" x14ac:dyDescent="0.25">
      <c r="A22" s="108">
        <f>Données!A22</f>
        <v>5415</v>
      </c>
      <c r="B22" s="116" t="str">
        <f>Données!B22</f>
        <v>Yvorne</v>
      </c>
      <c r="C22" s="249">
        <f>Données!C22</f>
        <v>1119</v>
      </c>
      <c r="D22" s="262"/>
      <c r="E22" s="246">
        <f>Données!X22</f>
        <v>1178</v>
      </c>
      <c r="F22" s="283">
        <f t="shared" si="0"/>
        <v>1.0527256478999107</v>
      </c>
      <c r="G22" s="262">
        <f t="shared" si="1"/>
        <v>839.37961389961379</v>
      </c>
      <c r="H22" s="270">
        <f t="shared" si="6"/>
        <v>338.62038610038621</v>
      </c>
      <c r="I22" s="284">
        <f t="shared" si="7"/>
        <v>-36207</v>
      </c>
      <c r="J22" s="262"/>
      <c r="K22" s="271">
        <f>Données!Y22</f>
        <v>0</v>
      </c>
      <c r="L22" s="418">
        <f>Données!Z22</f>
        <v>0.32800000000000001</v>
      </c>
      <c r="M22" s="262">
        <f t="shared" si="2"/>
        <v>192.89060336300693</v>
      </c>
      <c r="N22" s="284">
        <f t="shared" si="3"/>
        <v>0</v>
      </c>
      <c r="O22" s="262"/>
      <c r="P22" s="246">
        <f>Données!AA22</f>
        <v>127</v>
      </c>
      <c r="Q22" s="281">
        <f>Données!AB22</f>
        <v>36</v>
      </c>
      <c r="R22" s="233">
        <f t="shared" si="8"/>
        <v>132.4</v>
      </c>
      <c r="S22" s="285">
        <f t="shared" si="4"/>
        <v>0.11831992850759607</v>
      </c>
      <c r="T22" s="270">
        <f t="shared" si="5"/>
        <v>152.40368098159504</v>
      </c>
      <c r="U22" s="270">
        <f t="shared" si="9"/>
        <v>0</v>
      </c>
      <c r="V22" s="284">
        <f t="shared" si="10"/>
        <v>0</v>
      </c>
      <c r="W22" s="337"/>
      <c r="X22" s="233">
        <f t="shared" si="11"/>
        <v>0</v>
      </c>
      <c r="Y22" s="250">
        <f t="shared" si="12"/>
        <v>0</v>
      </c>
    </row>
    <row r="23" spans="1:25" x14ac:dyDescent="0.25">
      <c r="A23" s="108">
        <f>Données!A23</f>
        <v>5422</v>
      </c>
      <c r="B23" s="116" t="str">
        <f>Données!B23</f>
        <v>Aubonne</v>
      </c>
      <c r="C23" s="249">
        <f>Données!C23</f>
        <v>3896</v>
      </c>
      <c r="D23" s="262"/>
      <c r="E23" s="246">
        <f>Données!X23</f>
        <v>1425</v>
      </c>
      <c r="F23" s="283">
        <f t="shared" si="0"/>
        <v>0.36575975359342916</v>
      </c>
      <c r="G23" s="262">
        <f t="shared" si="1"/>
        <v>2922.4512741312737</v>
      </c>
      <c r="H23" s="270">
        <f t="shared" si="6"/>
        <v>0</v>
      </c>
      <c r="I23" s="284">
        <f t="shared" si="7"/>
        <v>0</v>
      </c>
      <c r="J23" s="262"/>
      <c r="K23" s="271">
        <f>Données!Y23</f>
        <v>0</v>
      </c>
      <c r="L23" s="418">
        <f>Données!Z23</f>
        <v>0.112</v>
      </c>
      <c r="M23" s="262">
        <f t="shared" si="2"/>
        <v>65.865084075173101</v>
      </c>
      <c r="N23" s="284">
        <f t="shared" si="3"/>
        <v>0</v>
      </c>
      <c r="O23" s="262"/>
      <c r="P23" s="246">
        <f>Données!AA23</f>
        <v>422</v>
      </c>
      <c r="Q23" s="281">
        <f>Données!AB23</f>
        <v>92</v>
      </c>
      <c r="R23" s="233">
        <f t="shared" si="8"/>
        <v>435.8</v>
      </c>
      <c r="S23" s="285">
        <f t="shared" si="4"/>
        <v>0.11185831622176591</v>
      </c>
      <c r="T23" s="270">
        <f t="shared" si="5"/>
        <v>530.6208588957054</v>
      </c>
      <c r="U23" s="270">
        <f t="shared" si="9"/>
        <v>0</v>
      </c>
      <c r="V23" s="284">
        <f t="shared" si="10"/>
        <v>0</v>
      </c>
      <c r="W23" s="337"/>
      <c r="X23" s="233">
        <f t="shared" si="11"/>
        <v>0</v>
      </c>
      <c r="Y23" s="250">
        <f t="shared" si="12"/>
        <v>0</v>
      </c>
    </row>
    <row r="24" spans="1:25" x14ac:dyDescent="0.25">
      <c r="A24" s="108">
        <f>Données!A24</f>
        <v>5423</v>
      </c>
      <c r="B24" s="116" t="str">
        <f>Données!B24</f>
        <v>Ballens</v>
      </c>
      <c r="C24" s="249">
        <f>Données!C24</f>
        <v>580</v>
      </c>
      <c r="D24" s="262"/>
      <c r="E24" s="246">
        <f>Données!X24</f>
        <v>832</v>
      </c>
      <c r="F24" s="283">
        <f t="shared" si="0"/>
        <v>1.4344827586206896</v>
      </c>
      <c r="G24" s="262">
        <f t="shared" si="1"/>
        <v>435.06718146718146</v>
      </c>
      <c r="H24" s="270">
        <f t="shared" si="6"/>
        <v>396.93281853281854</v>
      </c>
      <c r="I24" s="284">
        <f t="shared" si="7"/>
        <v>-42442</v>
      </c>
      <c r="J24" s="262"/>
      <c r="K24" s="271">
        <f>Données!Y24</f>
        <v>0</v>
      </c>
      <c r="L24" s="418">
        <f>Données!Z24</f>
        <v>1.7000000000000001E-2</v>
      </c>
      <c r="M24" s="262">
        <f t="shared" si="2"/>
        <v>9.9973788328387734</v>
      </c>
      <c r="N24" s="284">
        <f t="shared" si="3"/>
        <v>0</v>
      </c>
      <c r="O24" s="262"/>
      <c r="P24" s="246">
        <f>Données!AA24</f>
        <v>67</v>
      </c>
      <c r="Q24" s="281">
        <f>Données!AB24</f>
        <v>67</v>
      </c>
      <c r="R24" s="233">
        <f t="shared" si="8"/>
        <v>77.05</v>
      </c>
      <c r="S24" s="285">
        <f t="shared" si="4"/>
        <v>0.13284482758620689</v>
      </c>
      <c r="T24" s="270">
        <f t="shared" si="5"/>
        <v>78.993865030674826</v>
      </c>
      <c r="U24" s="270">
        <f t="shared" si="9"/>
        <v>0</v>
      </c>
      <c r="V24" s="284">
        <f t="shared" si="10"/>
        <v>0</v>
      </c>
      <c r="W24" s="337"/>
      <c r="X24" s="233">
        <f t="shared" si="11"/>
        <v>0</v>
      </c>
      <c r="Y24" s="250">
        <f t="shared" si="12"/>
        <v>0</v>
      </c>
    </row>
    <row r="25" spans="1:25" x14ac:dyDescent="0.25">
      <c r="A25" s="108">
        <f>Données!A25</f>
        <v>5424</v>
      </c>
      <c r="B25" s="116" t="str">
        <f>Données!B25</f>
        <v>Berolle</v>
      </c>
      <c r="C25" s="249">
        <f>Données!C25</f>
        <v>300</v>
      </c>
      <c r="D25" s="262"/>
      <c r="E25" s="246">
        <f>Données!X25</f>
        <v>963</v>
      </c>
      <c r="F25" s="283">
        <f t="shared" si="0"/>
        <v>3.21</v>
      </c>
      <c r="G25" s="262">
        <f t="shared" si="1"/>
        <v>225.03474903474901</v>
      </c>
      <c r="H25" s="270">
        <f t="shared" si="6"/>
        <v>737.96525096525102</v>
      </c>
      <c r="I25" s="284">
        <f t="shared" si="7"/>
        <v>-78906</v>
      </c>
      <c r="J25" s="262"/>
      <c r="K25" s="271">
        <f>Données!Y25</f>
        <v>296</v>
      </c>
      <c r="L25" s="418">
        <f>Données!Z25</f>
        <v>0.26100000000000001</v>
      </c>
      <c r="M25" s="262">
        <f t="shared" si="2"/>
        <v>153.48916913946587</v>
      </c>
      <c r="N25" s="284">
        <f t="shared" si="3"/>
        <v>-45433</v>
      </c>
      <c r="O25" s="262"/>
      <c r="P25" s="246">
        <f>Données!AA25</f>
        <v>35</v>
      </c>
      <c r="Q25" s="281">
        <f>Données!AB25</f>
        <v>35</v>
      </c>
      <c r="R25" s="233">
        <f t="shared" si="8"/>
        <v>40.25</v>
      </c>
      <c r="S25" s="285">
        <f t="shared" si="4"/>
        <v>0.13416666666666666</v>
      </c>
      <c r="T25" s="270">
        <f t="shared" si="5"/>
        <v>40.858895705521462</v>
      </c>
      <c r="U25" s="270">
        <f t="shared" si="9"/>
        <v>0</v>
      </c>
      <c r="V25" s="284">
        <f t="shared" si="10"/>
        <v>0</v>
      </c>
      <c r="W25" s="337"/>
      <c r="X25" s="233">
        <f t="shared" si="11"/>
        <v>0</v>
      </c>
      <c r="Y25" s="250">
        <f t="shared" si="12"/>
        <v>0</v>
      </c>
    </row>
    <row r="26" spans="1:25" x14ac:dyDescent="0.25">
      <c r="A26" s="108">
        <f>Données!A26</f>
        <v>5425</v>
      </c>
      <c r="B26" s="116" t="str">
        <f>Données!B26</f>
        <v>Bière</v>
      </c>
      <c r="C26" s="249">
        <f>Données!C26</f>
        <v>1701</v>
      </c>
      <c r="D26" s="262"/>
      <c r="E26" s="246">
        <f>Données!X26</f>
        <v>2432</v>
      </c>
      <c r="F26" s="283">
        <f t="shared" si="0"/>
        <v>1.4297472075249853</v>
      </c>
      <c r="G26" s="262">
        <f t="shared" si="1"/>
        <v>1275.9470270270269</v>
      </c>
      <c r="H26" s="270">
        <f t="shared" si="6"/>
        <v>1156.0529729729731</v>
      </c>
      <c r="I26" s="284">
        <f t="shared" si="7"/>
        <v>-123610</v>
      </c>
      <c r="J26" s="262"/>
      <c r="K26" s="271">
        <f>Données!Y26</f>
        <v>11</v>
      </c>
      <c r="L26" s="418">
        <f>Données!Z26</f>
        <v>0.184</v>
      </c>
      <c r="M26" s="262">
        <f t="shared" si="2"/>
        <v>108.20692383778437</v>
      </c>
      <c r="N26" s="284">
        <f t="shared" si="3"/>
        <v>-1190</v>
      </c>
      <c r="O26" s="262"/>
      <c r="P26" s="246">
        <f>Données!AA26</f>
        <v>201</v>
      </c>
      <c r="Q26" s="281">
        <f>Données!AB26</f>
        <v>79</v>
      </c>
      <c r="R26" s="233">
        <f t="shared" si="8"/>
        <v>212.85</v>
      </c>
      <c r="S26" s="285">
        <f t="shared" si="4"/>
        <v>0.12513227513227512</v>
      </c>
      <c r="T26" s="270">
        <f t="shared" si="5"/>
        <v>231.66993865030668</v>
      </c>
      <c r="U26" s="270">
        <f t="shared" si="9"/>
        <v>0</v>
      </c>
      <c r="V26" s="284">
        <f t="shared" si="10"/>
        <v>0</v>
      </c>
      <c r="W26" s="337"/>
      <c r="X26" s="233">
        <f t="shared" si="11"/>
        <v>0</v>
      </c>
      <c r="Y26" s="250">
        <f t="shared" si="12"/>
        <v>0</v>
      </c>
    </row>
    <row r="27" spans="1:25" x14ac:dyDescent="0.25">
      <c r="A27" s="108">
        <f>Données!A27</f>
        <v>5426</v>
      </c>
      <c r="B27" s="116" t="str">
        <f>Données!B27</f>
        <v>Bougy-Villars</v>
      </c>
      <c r="C27" s="249">
        <f>Données!C27</f>
        <v>493</v>
      </c>
      <c r="D27" s="262"/>
      <c r="E27" s="246">
        <f>Données!X27</f>
        <v>176</v>
      </c>
      <c r="F27" s="283">
        <f t="shared" si="0"/>
        <v>0.35699797160243407</v>
      </c>
      <c r="G27" s="262">
        <f t="shared" si="1"/>
        <v>369.80710424710423</v>
      </c>
      <c r="H27" s="270">
        <f t="shared" si="6"/>
        <v>0</v>
      </c>
      <c r="I27" s="284">
        <f t="shared" si="7"/>
        <v>0</v>
      </c>
      <c r="J27" s="262"/>
      <c r="K27" s="271">
        <f>Données!Y27</f>
        <v>0</v>
      </c>
      <c r="L27" s="418">
        <f>Données!Z27</f>
        <v>0.15</v>
      </c>
      <c r="M27" s="262">
        <f t="shared" si="2"/>
        <v>88.212166172106819</v>
      </c>
      <c r="N27" s="284">
        <f t="shared" si="3"/>
        <v>0</v>
      </c>
      <c r="O27" s="262"/>
      <c r="P27" s="246">
        <f>Données!AA27</f>
        <v>25</v>
      </c>
      <c r="Q27" s="281">
        <f>Données!AB27</f>
        <v>14</v>
      </c>
      <c r="R27" s="233">
        <f t="shared" si="8"/>
        <v>27.1</v>
      </c>
      <c r="S27" s="285">
        <f t="shared" si="4"/>
        <v>5.4969574036511162E-2</v>
      </c>
      <c r="T27" s="270">
        <f t="shared" si="5"/>
        <v>67.144785276073605</v>
      </c>
      <c r="U27" s="270">
        <f t="shared" si="9"/>
        <v>0</v>
      </c>
      <c r="V27" s="284">
        <f t="shared" si="10"/>
        <v>0</v>
      </c>
      <c r="W27" s="337"/>
      <c r="X27" s="233">
        <f t="shared" si="11"/>
        <v>0</v>
      </c>
      <c r="Y27" s="250">
        <f t="shared" si="12"/>
        <v>0</v>
      </c>
    </row>
    <row r="28" spans="1:25" x14ac:dyDescent="0.25">
      <c r="A28" s="108">
        <f>Données!A28</f>
        <v>5427</v>
      </c>
      <c r="B28" s="116" t="str">
        <f>Données!B28</f>
        <v>Féchy</v>
      </c>
      <c r="C28" s="249">
        <f>Données!C28</f>
        <v>906</v>
      </c>
      <c r="D28" s="262"/>
      <c r="E28" s="246">
        <f>Données!X28</f>
        <v>267</v>
      </c>
      <c r="F28" s="283">
        <f t="shared" si="0"/>
        <v>0.29470198675496689</v>
      </c>
      <c r="G28" s="262">
        <f t="shared" si="1"/>
        <v>679.60494208494208</v>
      </c>
      <c r="H28" s="270">
        <f t="shared" si="6"/>
        <v>0</v>
      </c>
      <c r="I28" s="284">
        <f t="shared" si="7"/>
        <v>0</v>
      </c>
      <c r="J28" s="262"/>
      <c r="K28" s="271">
        <f>Données!Y28</f>
        <v>0</v>
      </c>
      <c r="L28" s="418">
        <f>Données!Z28</f>
        <v>7.1999999999999995E-2</v>
      </c>
      <c r="M28" s="262">
        <f t="shared" si="2"/>
        <v>42.341839762611272</v>
      </c>
      <c r="N28" s="284">
        <f t="shared" si="3"/>
        <v>0</v>
      </c>
      <c r="O28" s="262"/>
      <c r="P28" s="246">
        <f>Données!AA28</f>
        <v>92</v>
      </c>
      <c r="Q28" s="281">
        <f>Données!AB28</f>
        <v>54</v>
      </c>
      <c r="R28" s="233">
        <f t="shared" si="8"/>
        <v>100.1</v>
      </c>
      <c r="S28" s="285">
        <f t="shared" si="4"/>
        <v>0.11048565121412803</v>
      </c>
      <c r="T28" s="270">
        <f t="shared" si="5"/>
        <v>123.39386503067482</v>
      </c>
      <c r="U28" s="270">
        <f t="shared" si="9"/>
        <v>0</v>
      </c>
      <c r="V28" s="284">
        <f t="shared" si="10"/>
        <v>0</v>
      </c>
      <c r="W28" s="337"/>
      <c r="X28" s="233">
        <f t="shared" si="11"/>
        <v>0</v>
      </c>
      <c r="Y28" s="250">
        <f t="shared" si="12"/>
        <v>0</v>
      </c>
    </row>
    <row r="29" spans="1:25" x14ac:dyDescent="0.25">
      <c r="A29" s="108">
        <f>Données!A29</f>
        <v>5428</v>
      </c>
      <c r="B29" s="116" t="str">
        <f>Données!B29</f>
        <v>Gimel</v>
      </c>
      <c r="C29" s="249">
        <f>Données!C29</f>
        <v>3343</v>
      </c>
      <c r="D29" s="262"/>
      <c r="E29" s="246">
        <f>Données!X29</f>
        <v>2550</v>
      </c>
      <c r="F29" s="283">
        <f t="shared" si="0"/>
        <v>0.76278791504636556</v>
      </c>
      <c r="G29" s="262">
        <f t="shared" si="1"/>
        <v>2507.6372200772198</v>
      </c>
      <c r="H29" s="270">
        <f t="shared" si="6"/>
        <v>42.362779922780192</v>
      </c>
      <c r="I29" s="284">
        <f t="shared" si="7"/>
        <v>-4530</v>
      </c>
      <c r="J29" s="262"/>
      <c r="K29" s="271">
        <f>Données!Y29</f>
        <v>1055</v>
      </c>
      <c r="L29" s="418">
        <f>Données!Z29</f>
        <v>0.14799999999999999</v>
      </c>
      <c r="M29" s="262">
        <f t="shared" si="2"/>
        <v>87.036003956478723</v>
      </c>
      <c r="N29" s="284">
        <f t="shared" si="3"/>
        <v>-91823</v>
      </c>
      <c r="O29" s="262"/>
      <c r="P29" s="246">
        <f>Données!AA29</f>
        <v>460</v>
      </c>
      <c r="Q29" s="281">
        <f>Données!AB29</f>
        <v>141</v>
      </c>
      <c r="R29" s="233">
        <f t="shared" si="8"/>
        <v>481.15</v>
      </c>
      <c r="S29" s="285">
        <f t="shared" si="4"/>
        <v>0.14392760993119952</v>
      </c>
      <c r="T29" s="270">
        <f t="shared" si="5"/>
        <v>455.30429447852748</v>
      </c>
      <c r="U29" s="270">
        <f t="shared" si="9"/>
        <v>25.845705521472496</v>
      </c>
      <c r="V29" s="284">
        <f t="shared" si="10"/>
        <v>-110541</v>
      </c>
      <c r="W29" s="337"/>
      <c r="X29" s="233">
        <f t="shared" si="11"/>
        <v>-90457.566765578624</v>
      </c>
      <c r="Y29" s="250">
        <f t="shared" si="12"/>
        <v>-20083.433234421376</v>
      </c>
    </row>
    <row r="30" spans="1:25" x14ac:dyDescent="0.25">
      <c r="A30" s="108">
        <f>Données!A30</f>
        <v>5429</v>
      </c>
      <c r="B30" s="116" t="str">
        <f>Données!B30</f>
        <v>Longirod</v>
      </c>
      <c r="C30" s="249">
        <f>Données!C30</f>
        <v>558</v>
      </c>
      <c r="D30" s="262"/>
      <c r="E30" s="246">
        <f>Données!X30</f>
        <v>945</v>
      </c>
      <c r="F30" s="283">
        <f t="shared" si="0"/>
        <v>1.6935483870967742</v>
      </c>
      <c r="G30" s="262">
        <f t="shared" si="1"/>
        <v>418.5646332046332</v>
      </c>
      <c r="H30" s="270">
        <f t="shared" si="6"/>
        <v>526.4353667953668</v>
      </c>
      <c r="I30" s="284">
        <f t="shared" si="7"/>
        <v>-56288</v>
      </c>
      <c r="J30" s="262"/>
      <c r="K30" s="271">
        <f>Données!Y30</f>
        <v>558</v>
      </c>
      <c r="L30" s="418">
        <f>Données!Z30</f>
        <v>0.14599999999999999</v>
      </c>
      <c r="M30" s="262">
        <f t="shared" si="2"/>
        <v>85.859841740850641</v>
      </c>
      <c r="N30" s="284">
        <f t="shared" si="3"/>
        <v>-47910</v>
      </c>
      <c r="O30" s="262"/>
      <c r="P30" s="246">
        <f>Données!AA30</f>
        <v>51</v>
      </c>
      <c r="Q30" s="281">
        <f>Données!AB30</f>
        <v>37</v>
      </c>
      <c r="R30" s="233">
        <f t="shared" si="8"/>
        <v>56.55</v>
      </c>
      <c r="S30" s="285">
        <f t="shared" si="4"/>
        <v>0.10134408602150537</v>
      </c>
      <c r="T30" s="270">
        <f t="shared" si="5"/>
        <v>75.997546012269922</v>
      </c>
      <c r="U30" s="270">
        <f t="shared" si="9"/>
        <v>0</v>
      </c>
      <c r="V30" s="284">
        <f t="shared" si="10"/>
        <v>0</v>
      </c>
      <c r="W30" s="337"/>
      <c r="X30" s="233">
        <f t="shared" si="11"/>
        <v>0</v>
      </c>
      <c r="Y30" s="250">
        <f t="shared" si="12"/>
        <v>0</v>
      </c>
    </row>
    <row r="31" spans="1:25" x14ac:dyDescent="0.25">
      <c r="A31" s="108">
        <f>Données!A31</f>
        <v>5430</v>
      </c>
      <c r="B31" s="116" t="str">
        <f>Données!B31</f>
        <v>Marchissy</v>
      </c>
      <c r="C31" s="249">
        <f>Données!C31</f>
        <v>492</v>
      </c>
      <c r="D31" s="262"/>
      <c r="E31" s="246">
        <f>Données!X31</f>
        <v>1193</v>
      </c>
      <c r="F31" s="283">
        <f t="shared" si="0"/>
        <v>2.4247967479674797</v>
      </c>
      <c r="G31" s="262">
        <f t="shared" si="1"/>
        <v>369.05698841698836</v>
      </c>
      <c r="H31" s="270">
        <f t="shared" si="6"/>
        <v>823.94301158301164</v>
      </c>
      <c r="I31" s="284">
        <f t="shared" si="7"/>
        <v>-88099</v>
      </c>
      <c r="J31" s="262"/>
      <c r="K31" s="271">
        <f>Données!Y31</f>
        <v>492</v>
      </c>
      <c r="L31" s="418">
        <f>Données!Z31</f>
        <v>0.157</v>
      </c>
      <c r="M31" s="262">
        <f t="shared" si="2"/>
        <v>92.328733926805143</v>
      </c>
      <c r="N31" s="284">
        <f t="shared" si="3"/>
        <v>-45426</v>
      </c>
      <c r="O31" s="262"/>
      <c r="P31" s="246">
        <f>Données!AA31</f>
        <v>53</v>
      </c>
      <c r="Q31" s="281">
        <f>Données!AB31</f>
        <v>33</v>
      </c>
      <c r="R31" s="233">
        <f t="shared" si="8"/>
        <v>57.95</v>
      </c>
      <c r="S31" s="285">
        <f t="shared" si="4"/>
        <v>0.11778455284552847</v>
      </c>
      <c r="T31" s="270">
        <f t="shared" si="5"/>
        <v>67.008588957055196</v>
      </c>
      <c r="U31" s="270">
        <f t="shared" si="9"/>
        <v>0</v>
      </c>
      <c r="V31" s="284">
        <f t="shared" si="10"/>
        <v>0</v>
      </c>
      <c r="W31" s="337"/>
      <c r="X31" s="233">
        <f t="shared" si="11"/>
        <v>0</v>
      </c>
      <c r="Y31" s="250">
        <f t="shared" si="12"/>
        <v>0</v>
      </c>
    </row>
    <row r="32" spans="1:25" x14ac:dyDescent="0.25">
      <c r="A32" s="108">
        <f>Données!A32</f>
        <v>5431</v>
      </c>
      <c r="B32" s="116" t="str">
        <f>Données!B32</f>
        <v>Mollens</v>
      </c>
      <c r="C32" s="249">
        <f>Données!C32</f>
        <v>320</v>
      </c>
      <c r="D32" s="262"/>
      <c r="E32" s="246">
        <f>Données!X32</f>
        <v>1099</v>
      </c>
      <c r="F32" s="283">
        <f t="shared" si="0"/>
        <v>3.4343750000000002</v>
      </c>
      <c r="G32" s="262">
        <f t="shared" si="1"/>
        <v>240.03706563706561</v>
      </c>
      <c r="H32" s="270">
        <f t="shared" si="6"/>
        <v>858.96293436293445</v>
      </c>
      <c r="I32" s="284">
        <f t="shared" si="7"/>
        <v>-91844</v>
      </c>
      <c r="J32" s="262"/>
      <c r="K32" s="271">
        <f>Données!Y32</f>
        <v>283</v>
      </c>
      <c r="L32" s="418">
        <f>Données!Z32</f>
        <v>0.20799999999999999</v>
      </c>
      <c r="M32" s="262">
        <f t="shared" si="2"/>
        <v>122.32087042532146</v>
      </c>
      <c r="N32" s="284">
        <f t="shared" si="3"/>
        <v>-34617</v>
      </c>
      <c r="O32" s="262"/>
      <c r="P32" s="246">
        <f>Données!AA32</f>
        <v>20</v>
      </c>
      <c r="Q32" s="281">
        <f>Données!AB32</f>
        <v>20</v>
      </c>
      <c r="R32" s="233">
        <f t="shared" si="8"/>
        <v>23</v>
      </c>
      <c r="S32" s="285">
        <f t="shared" si="4"/>
        <v>7.1874999999999994E-2</v>
      </c>
      <c r="T32" s="270">
        <f t="shared" si="5"/>
        <v>43.582822085889561</v>
      </c>
      <c r="U32" s="270">
        <f t="shared" si="9"/>
        <v>0</v>
      </c>
      <c r="V32" s="284">
        <f t="shared" si="10"/>
        <v>0</v>
      </c>
      <c r="W32" s="337"/>
      <c r="X32" s="233">
        <f t="shared" si="11"/>
        <v>0</v>
      </c>
      <c r="Y32" s="250">
        <f t="shared" si="12"/>
        <v>0</v>
      </c>
    </row>
    <row r="33" spans="1:25" x14ac:dyDescent="0.25">
      <c r="A33" s="108">
        <f>Données!A33</f>
        <v>5434</v>
      </c>
      <c r="B33" s="116" t="str">
        <f>Données!B33</f>
        <v>Saint-George</v>
      </c>
      <c r="C33" s="249">
        <f>Données!C33</f>
        <v>1082</v>
      </c>
      <c r="D33" s="262"/>
      <c r="E33" s="246">
        <f>Données!X33</f>
        <v>1228</v>
      </c>
      <c r="F33" s="283">
        <f t="shared" si="0"/>
        <v>1.1349353049907578</v>
      </c>
      <c r="G33" s="262">
        <f t="shared" si="1"/>
        <v>811.62532818532816</v>
      </c>
      <c r="H33" s="270">
        <f t="shared" si="6"/>
        <v>416.37467181467184</v>
      </c>
      <c r="I33" s="284">
        <f t="shared" si="7"/>
        <v>-44520</v>
      </c>
      <c r="J33" s="262"/>
      <c r="K33" s="271">
        <f>Données!Y33</f>
        <v>1082</v>
      </c>
      <c r="L33" s="418">
        <f>Données!Z33</f>
        <v>0.24399999999999999</v>
      </c>
      <c r="M33" s="262">
        <f t="shared" si="2"/>
        <v>143.49179030662708</v>
      </c>
      <c r="N33" s="284">
        <f t="shared" si="3"/>
        <v>-155258</v>
      </c>
      <c r="O33" s="262"/>
      <c r="P33" s="246">
        <f>Données!AA33</f>
        <v>124</v>
      </c>
      <c r="Q33" s="281">
        <f>Données!AB33</f>
        <v>83</v>
      </c>
      <c r="R33" s="233">
        <f t="shared" si="8"/>
        <v>136.44999999999999</v>
      </c>
      <c r="S33" s="285">
        <f t="shared" si="4"/>
        <v>0.1261090573012939</v>
      </c>
      <c r="T33" s="270">
        <f t="shared" si="5"/>
        <v>147.36441717791408</v>
      </c>
      <c r="U33" s="270">
        <f t="shared" si="9"/>
        <v>0</v>
      </c>
      <c r="V33" s="284">
        <f t="shared" si="10"/>
        <v>0</v>
      </c>
      <c r="W33" s="337"/>
      <c r="X33" s="233">
        <f t="shared" si="11"/>
        <v>0</v>
      </c>
      <c r="Y33" s="250">
        <f t="shared" si="12"/>
        <v>0</v>
      </c>
    </row>
    <row r="34" spans="1:25" x14ac:dyDescent="0.25">
      <c r="A34" s="108">
        <f>Données!A34</f>
        <v>5435</v>
      </c>
      <c r="B34" s="116" t="str">
        <f>Données!B34</f>
        <v>Saint-Livres</v>
      </c>
      <c r="C34" s="249">
        <f>Données!C34</f>
        <v>708</v>
      </c>
      <c r="D34" s="262"/>
      <c r="E34" s="246">
        <f>Données!X34</f>
        <v>805</v>
      </c>
      <c r="F34" s="283">
        <f t="shared" si="0"/>
        <v>1.1370056497175141</v>
      </c>
      <c r="G34" s="262">
        <f t="shared" si="1"/>
        <v>531.08200772200769</v>
      </c>
      <c r="H34" s="270">
        <f t="shared" si="6"/>
        <v>273.91799227799231</v>
      </c>
      <c r="I34" s="284">
        <f t="shared" si="7"/>
        <v>-29288</v>
      </c>
      <c r="J34" s="262"/>
      <c r="K34" s="271">
        <f>Données!Y34</f>
        <v>0</v>
      </c>
      <c r="L34" s="418">
        <f>Données!Z34</f>
        <v>0.13300000000000001</v>
      </c>
      <c r="M34" s="262">
        <f t="shared" si="2"/>
        <v>78.214787339268057</v>
      </c>
      <c r="N34" s="284">
        <f t="shared" si="3"/>
        <v>0</v>
      </c>
      <c r="O34" s="262"/>
      <c r="P34" s="246">
        <f>Données!AA34</f>
        <v>83</v>
      </c>
      <c r="Q34" s="281">
        <f>Données!AB34</f>
        <v>47</v>
      </c>
      <c r="R34" s="233">
        <f t="shared" si="8"/>
        <v>90.05</v>
      </c>
      <c r="S34" s="285">
        <f t="shared" si="4"/>
        <v>0.12718926553672316</v>
      </c>
      <c r="T34" s="270">
        <f t="shared" si="5"/>
        <v>96.426993865030653</v>
      </c>
      <c r="U34" s="270">
        <f t="shared" si="9"/>
        <v>0</v>
      </c>
      <c r="V34" s="284">
        <f t="shared" si="10"/>
        <v>0</v>
      </c>
      <c r="W34" s="337"/>
      <c r="X34" s="233">
        <f t="shared" si="11"/>
        <v>0</v>
      </c>
      <c r="Y34" s="250">
        <f t="shared" si="12"/>
        <v>0</v>
      </c>
    </row>
    <row r="35" spans="1:25" x14ac:dyDescent="0.25">
      <c r="A35" s="108">
        <f>Données!A35</f>
        <v>5451</v>
      </c>
      <c r="B35" s="116" t="str">
        <f>Données!B35</f>
        <v>Avenches</v>
      </c>
      <c r="C35" s="249">
        <f>Données!C35</f>
        <v>4953</v>
      </c>
      <c r="D35" s="262"/>
      <c r="E35" s="246">
        <f>Données!X35</f>
        <v>1922</v>
      </c>
      <c r="F35" s="283">
        <f t="shared" si="0"/>
        <v>0.3880476478901676</v>
      </c>
      <c r="G35" s="262">
        <f t="shared" si="1"/>
        <v>3715.3237065637063</v>
      </c>
      <c r="H35" s="270">
        <f t="shared" si="6"/>
        <v>0</v>
      </c>
      <c r="I35" s="284">
        <f t="shared" si="7"/>
        <v>0</v>
      </c>
      <c r="J35" s="262"/>
      <c r="K35" s="271">
        <f>Données!Y35</f>
        <v>0</v>
      </c>
      <c r="L35" s="418">
        <f>Données!Z35</f>
        <v>5.1999999999999998E-2</v>
      </c>
      <c r="M35" s="262">
        <f t="shared" si="2"/>
        <v>30.580217606330365</v>
      </c>
      <c r="N35" s="284">
        <f t="shared" si="3"/>
        <v>0</v>
      </c>
      <c r="O35" s="262"/>
      <c r="P35" s="246">
        <f>Données!AA35</f>
        <v>677</v>
      </c>
      <c r="Q35" s="281">
        <f>Données!AB35</f>
        <v>105</v>
      </c>
      <c r="R35" s="233">
        <f t="shared" si="8"/>
        <v>692.75</v>
      </c>
      <c r="S35" s="285">
        <f t="shared" si="4"/>
        <v>0.13986472844740561</v>
      </c>
      <c r="T35" s="270">
        <f t="shared" si="5"/>
        <v>674.58036809815928</v>
      </c>
      <c r="U35" s="270">
        <f t="shared" si="9"/>
        <v>18.169631901840717</v>
      </c>
      <c r="V35" s="284">
        <f t="shared" si="10"/>
        <v>-77711</v>
      </c>
      <c r="W35" s="337"/>
      <c r="X35" s="233">
        <f t="shared" si="11"/>
        <v>-67362.017804154297</v>
      </c>
      <c r="Y35" s="250">
        <f t="shared" si="12"/>
        <v>-10348.982195845703</v>
      </c>
    </row>
    <row r="36" spans="1:25" x14ac:dyDescent="0.25">
      <c r="A36" s="108">
        <f>Données!A36</f>
        <v>5456</v>
      </c>
      <c r="B36" s="116" t="str">
        <f>Données!B36</f>
        <v>Cudrefin</v>
      </c>
      <c r="C36" s="249">
        <f>Données!C36</f>
        <v>1915</v>
      </c>
      <c r="D36" s="262"/>
      <c r="E36" s="246">
        <f>Données!X36</f>
        <v>1451</v>
      </c>
      <c r="F36" s="283">
        <f t="shared" si="0"/>
        <v>0.75770234986945173</v>
      </c>
      <c r="G36" s="262">
        <f t="shared" si="1"/>
        <v>1436.4718146718146</v>
      </c>
      <c r="H36" s="270">
        <f t="shared" si="6"/>
        <v>14.528185328185373</v>
      </c>
      <c r="I36" s="284">
        <f t="shared" si="7"/>
        <v>-1553</v>
      </c>
      <c r="J36" s="262"/>
      <c r="K36" s="271">
        <f>Données!Y36</f>
        <v>0</v>
      </c>
      <c r="L36" s="418">
        <f>Données!Z36</f>
        <v>2.8000000000000001E-2</v>
      </c>
      <c r="M36" s="262">
        <f t="shared" si="2"/>
        <v>16.466271018793275</v>
      </c>
      <c r="N36" s="284">
        <f t="shared" si="3"/>
        <v>0</v>
      </c>
      <c r="O36" s="262"/>
      <c r="P36" s="246">
        <f>Données!AA36</f>
        <v>222</v>
      </c>
      <c r="Q36" s="281">
        <f>Données!AB36</f>
        <v>113</v>
      </c>
      <c r="R36" s="233">
        <f t="shared" si="8"/>
        <v>238.95</v>
      </c>
      <c r="S36" s="285">
        <f t="shared" si="4"/>
        <v>0.12477806788511749</v>
      </c>
      <c r="T36" s="270">
        <f t="shared" si="5"/>
        <v>260.81595092024531</v>
      </c>
      <c r="U36" s="270">
        <f t="shared" si="9"/>
        <v>0</v>
      </c>
      <c r="V36" s="284">
        <f t="shared" si="10"/>
        <v>0</v>
      </c>
      <c r="W36" s="337"/>
      <c r="X36" s="233">
        <f t="shared" si="11"/>
        <v>0</v>
      </c>
      <c r="Y36" s="250">
        <f t="shared" si="12"/>
        <v>0</v>
      </c>
    </row>
    <row r="37" spans="1:25" x14ac:dyDescent="0.25">
      <c r="A37" s="108">
        <f>Données!A37</f>
        <v>5458</v>
      </c>
      <c r="B37" s="116" t="str">
        <f>Données!B37</f>
        <v>Faoug</v>
      </c>
      <c r="C37" s="249">
        <f>Données!C37</f>
        <v>902</v>
      </c>
      <c r="D37" s="262"/>
      <c r="E37" s="246">
        <f>Données!X37</f>
        <v>347</v>
      </c>
      <c r="F37" s="283">
        <f t="shared" si="0"/>
        <v>0.38470066518847007</v>
      </c>
      <c r="G37" s="262">
        <f t="shared" si="1"/>
        <v>676.6044787644787</v>
      </c>
      <c r="H37" s="270">
        <f t="shared" si="6"/>
        <v>0</v>
      </c>
      <c r="I37" s="284">
        <f t="shared" si="7"/>
        <v>0</v>
      </c>
      <c r="J37" s="262"/>
      <c r="K37" s="271">
        <f>Données!Y37</f>
        <v>0</v>
      </c>
      <c r="L37" s="418">
        <f>Données!Z37</f>
        <v>3.1E-2</v>
      </c>
      <c r="M37" s="262">
        <f t="shared" si="2"/>
        <v>18.230514342235409</v>
      </c>
      <c r="N37" s="284">
        <f t="shared" si="3"/>
        <v>0</v>
      </c>
      <c r="O37" s="262"/>
      <c r="P37" s="246">
        <f>Données!AA37</f>
        <v>88</v>
      </c>
      <c r="Q37" s="281">
        <f>Données!AB37</f>
        <v>55</v>
      </c>
      <c r="R37" s="233">
        <f t="shared" si="8"/>
        <v>96.25</v>
      </c>
      <c r="S37" s="285">
        <f t="shared" si="4"/>
        <v>0.10670731707317073</v>
      </c>
      <c r="T37" s="270">
        <f t="shared" si="5"/>
        <v>122.84907975460119</v>
      </c>
      <c r="U37" s="270">
        <f t="shared" si="9"/>
        <v>0</v>
      </c>
      <c r="V37" s="284">
        <f t="shared" si="10"/>
        <v>0</v>
      </c>
      <c r="W37" s="337"/>
      <c r="X37" s="233">
        <f t="shared" si="11"/>
        <v>0</v>
      </c>
      <c r="Y37" s="250">
        <f t="shared" si="12"/>
        <v>0</v>
      </c>
    </row>
    <row r="38" spans="1:25" x14ac:dyDescent="0.25">
      <c r="A38" s="108">
        <f>Données!A38</f>
        <v>5464</v>
      </c>
      <c r="B38" s="116" t="str">
        <f>Données!B38</f>
        <v>Vully-les-Lacs</v>
      </c>
      <c r="C38" s="249">
        <f>Données!C38</f>
        <v>3698</v>
      </c>
      <c r="D38" s="262"/>
      <c r="E38" s="246">
        <f>Données!X38</f>
        <v>2027</v>
      </c>
      <c r="F38" s="283">
        <f t="shared" si="0"/>
        <v>0.54813412655489457</v>
      </c>
      <c r="G38" s="262">
        <f t="shared" si="1"/>
        <v>2773.9283397683394</v>
      </c>
      <c r="H38" s="270">
        <f t="shared" si="6"/>
        <v>0</v>
      </c>
      <c r="I38" s="284">
        <f t="shared" si="7"/>
        <v>0</v>
      </c>
      <c r="J38" s="262"/>
      <c r="K38" s="271">
        <f>Données!Y38</f>
        <v>0</v>
      </c>
      <c r="L38" s="418">
        <f>Données!Z38</f>
        <v>6.2E-2</v>
      </c>
      <c r="M38" s="262">
        <f t="shared" si="2"/>
        <v>36.461028684470818</v>
      </c>
      <c r="N38" s="284">
        <f t="shared" si="3"/>
        <v>0</v>
      </c>
      <c r="O38" s="262"/>
      <c r="P38" s="246">
        <f>Données!AA38</f>
        <v>461</v>
      </c>
      <c r="Q38" s="281">
        <f>Données!AB38</f>
        <v>283</v>
      </c>
      <c r="R38" s="233">
        <f t="shared" si="8"/>
        <v>503.45</v>
      </c>
      <c r="S38" s="285">
        <f t="shared" si="4"/>
        <v>0.13614115738236884</v>
      </c>
      <c r="T38" s="270">
        <f t="shared" si="5"/>
        <v>503.6539877300612</v>
      </c>
      <c r="U38" s="270">
        <f t="shared" si="9"/>
        <v>0</v>
      </c>
      <c r="V38" s="284">
        <f t="shared" si="10"/>
        <v>0</v>
      </c>
      <c r="W38" s="337"/>
      <c r="X38" s="233">
        <f t="shared" si="11"/>
        <v>0</v>
      </c>
      <c r="Y38" s="250">
        <f t="shared" si="12"/>
        <v>0</v>
      </c>
    </row>
    <row r="39" spans="1:25" x14ac:dyDescent="0.25">
      <c r="A39" s="108">
        <f>Données!A39</f>
        <v>5471</v>
      </c>
      <c r="B39" s="116" t="str">
        <f>Données!B39</f>
        <v>Bettens</v>
      </c>
      <c r="C39" s="249">
        <f>Données!C39</f>
        <v>652</v>
      </c>
      <c r="D39" s="262"/>
      <c r="E39" s="246">
        <f>Données!X39</f>
        <v>369</v>
      </c>
      <c r="F39" s="283">
        <f t="shared" si="0"/>
        <v>0.56595092024539873</v>
      </c>
      <c r="G39" s="262">
        <f t="shared" si="1"/>
        <v>489.07552123552119</v>
      </c>
      <c r="H39" s="270">
        <f t="shared" si="6"/>
        <v>0</v>
      </c>
      <c r="I39" s="284">
        <f t="shared" si="7"/>
        <v>0</v>
      </c>
      <c r="J39" s="262"/>
      <c r="K39" s="271">
        <f>Données!Y39</f>
        <v>0</v>
      </c>
      <c r="L39" s="418">
        <f>Données!Z39</f>
        <v>4.1000000000000002E-2</v>
      </c>
      <c r="M39" s="262">
        <f t="shared" si="2"/>
        <v>24.111325420375866</v>
      </c>
      <c r="N39" s="284">
        <f t="shared" si="3"/>
        <v>0</v>
      </c>
      <c r="O39" s="262"/>
      <c r="P39" s="246">
        <f>Données!AA39</f>
        <v>86</v>
      </c>
      <c r="Q39" s="281">
        <f>Données!AB39</f>
        <v>64</v>
      </c>
      <c r="R39" s="233">
        <f t="shared" si="8"/>
        <v>95.6</v>
      </c>
      <c r="S39" s="285">
        <f t="shared" si="4"/>
        <v>0.14662576687116563</v>
      </c>
      <c r="T39" s="270">
        <f t="shared" si="5"/>
        <v>88.799999999999983</v>
      </c>
      <c r="U39" s="270">
        <f t="shared" si="9"/>
        <v>6.8000000000000114</v>
      </c>
      <c r="V39" s="284">
        <f t="shared" si="10"/>
        <v>-29083</v>
      </c>
      <c r="W39" s="337"/>
      <c r="X39" s="233">
        <f t="shared" si="11"/>
        <v>-29083</v>
      </c>
      <c r="Y39" s="250">
        <f t="shared" si="12"/>
        <v>0</v>
      </c>
    </row>
    <row r="40" spans="1:25" x14ac:dyDescent="0.25">
      <c r="A40" s="108">
        <f>Données!A40</f>
        <v>5472</v>
      </c>
      <c r="B40" s="116" t="str">
        <f>Données!B40</f>
        <v>Bournens</v>
      </c>
      <c r="C40" s="249">
        <f>Données!C40</f>
        <v>612</v>
      </c>
      <c r="D40" s="262"/>
      <c r="E40" s="246">
        <f>Données!X40</f>
        <v>386</v>
      </c>
      <c r="F40" s="283">
        <f t="shared" si="0"/>
        <v>0.63071895424836599</v>
      </c>
      <c r="G40" s="262">
        <f t="shared" si="1"/>
        <v>459.070888030888</v>
      </c>
      <c r="H40" s="270">
        <f t="shared" si="6"/>
        <v>0</v>
      </c>
      <c r="I40" s="284">
        <f t="shared" si="7"/>
        <v>0</v>
      </c>
      <c r="J40" s="262"/>
      <c r="K40" s="271">
        <f>Données!Y40</f>
        <v>0</v>
      </c>
      <c r="L40" s="418">
        <f>Données!Z40</f>
        <v>1.6E-2</v>
      </c>
      <c r="M40" s="262">
        <f t="shared" si="2"/>
        <v>9.4092977250247287</v>
      </c>
      <c r="N40" s="284">
        <f t="shared" si="3"/>
        <v>0</v>
      </c>
      <c r="O40" s="262"/>
      <c r="P40" s="246">
        <f>Données!AA40</f>
        <v>62</v>
      </c>
      <c r="Q40" s="281">
        <f>Données!AB40</f>
        <v>35</v>
      </c>
      <c r="R40" s="233">
        <f t="shared" si="8"/>
        <v>67.25</v>
      </c>
      <c r="S40" s="285">
        <f t="shared" si="4"/>
        <v>0.10988562091503268</v>
      </c>
      <c r="T40" s="270">
        <f t="shared" si="5"/>
        <v>83.352147239263786</v>
      </c>
      <c r="U40" s="270">
        <f t="shared" si="9"/>
        <v>0</v>
      </c>
      <c r="V40" s="284">
        <f t="shared" si="10"/>
        <v>0</v>
      </c>
      <c r="W40" s="337"/>
      <c r="X40" s="233">
        <f t="shared" si="11"/>
        <v>0</v>
      </c>
      <c r="Y40" s="250">
        <f t="shared" si="12"/>
        <v>0</v>
      </c>
    </row>
    <row r="41" spans="1:25" x14ac:dyDescent="0.25">
      <c r="A41" s="108">
        <f>Données!A41</f>
        <v>5473</v>
      </c>
      <c r="B41" s="116" t="str">
        <f>Données!B41</f>
        <v>Boussens</v>
      </c>
      <c r="C41" s="249">
        <f>Données!C41</f>
        <v>1016</v>
      </c>
      <c r="D41" s="262"/>
      <c r="E41" s="246">
        <f>Données!X41</f>
        <v>318</v>
      </c>
      <c r="F41" s="283">
        <f t="shared" si="0"/>
        <v>0.31299212598425197</v>
      </c>
      <c r="G41" s="262">
        <f t="shared" si="1"/>
        <v>762.11768339768332</v>
      </c>
      <c r="H41" s="270">
        <f t="shared" si="6"/>
        <v>0</v>
      </c>
      <c r="I41" s="284">
        <f t="shared" si="7"/>
        <v>0</v>
      </c>
      <c r="J41" s="262"/>
      <c r="K41" s="271">
        <f>Données!Y41</f>
        <v>0</v>
      </c>
      <c r="L41" s="418">
        <f>Données!Z41</f>
        <v>4.0000000000000001E-3</v>
      </c>
      <c r="M41" s="262">
        <f t="shared" si="2"/>
        <v>2.3523244312561822</v>
      </c>
      <c r="N41" s="284">
        <f t="shared" si="3"/>
        <v>0</v>
      </c>
      <c r="O41" s="262"/>
      <c r="P41" s="246">
        <f>Données!AA41</f>
        <v>158</v>
      </c>
      <c r="Q41" s="281">
        <f>Données!AB41</f>
        <v>88</v>
      </c>
      <c r="R41" s="233">
        <f t="shared" si="8"/>
        <v>171.2</v>
      </c>
      <c r="S41" s="285">
        <f t="shared" si="4"/>
        <v>0.168503937007874</v>
      </c>
      <c r="T41" s="270">
        <f t="shared" si="5"/>
        <v>138.37546012269934</v>
      </c>
      <c r="U41" s="270">
        <f t="shared" si="9"/>
        <v>32.824539877300651</v>
      </c>
      <c r="V41" s="284">
        <f t="shared" si="10"/>
        <v>-140389</v>
      </c>
      <c r="W41" s="337"/>
      <c r="X41" s="233">
        <f t="shared" si="11"/>
        <v>-56455.786350148359</v>
      </c>
      <c r="Y41" s="250">
        <f t="shared" si="12"/>
        <v>-83933.213649851648</v>
      </c>
    </row>
    <row r="42" spans="1:25" x14ac:dyDescent="0.25">
      <c r="A42" s="108">
        <f>Données!A42</f>
        <v>5474</v>
      </c>
      <c r="B42" s="116" t="str">
        <f>Données!B42</f>
        <v>La Chaux (Cossonay)</v>
      </c>
      <c r="C42" s="249">
        <f>Données!C42</f>
        <v>421</v>
      </c>
      <c r="D42" s="262"/>
      <c r="E42" s="246">
        <f>Données!X42</f>
        <v>674</v>
      </c>
      <c r="F42" s="283">
        <f t="shared" si="0"/>
        <v>1.6009501187648456</v>
      </c>
      <c r="G42" s="262">
        <f t="shared" si="1"/>
        <v>315.79876447876444</v>
      </c>
      <c r="H42" s="270">
        <f t="shared" si="6"/>
        <v>358.20123552123556</v>
      </c>
      <c r="I42" s="284">
        <f t="shared" si="7"/>
        <v>-38300</v>
      </c>
      <c r="J42" s="262"/>
      <c r="K42" s="271">
        <f>Données!Y42</f>
        <v>0</v>
      </c>
      <c r="L42" s="418">
        <f>Données!Z42</f>
        <v>4.2000000000000003E-2</v>
      </c>
      <c r="M42" s="262">
        <f t="shared" si="2"/>
        <v>24.699406528189911</v>
      </c>
      <c r="N42" s="284">
        <f t="shared" si="3"/>
        <v>0</v>
      </c>
      <c r="O42" s="262"/>
      <c r="P42" s="246">
        <f>Données!AA42</f>
        <v>49</v>
      </c>
      <c r="Q42" s="281">
        <f>Données!AB42</f>
        <v>49</v>
      </c>
      <c r="R42" s="233">
        <f t="shared" si="8"/>
        <v>56.35</v>
      </c>
      <c r="S42" s="285">
        <f t="shared" si="4"/>
        <v>0.13384798099762471</v>
      </c>
      <c r="T42" s="270">
        <f t="shared" si="5"/>
        <v>57.338650306748448</v>
      </c>
      <c r="U42" s="270">
        <f t="shared" si="9"/>
        <v>0</v>
      </c>
      <c r="V42" s="284">
        <f t="shared" si="10"/>
        <v>0</v>
      </c>
      <c r="W42" s="337"/>
      <c r="X42" s="233">
        <f t="shared" si="11"/>
        <v>0</v>
      </c>
      <c r="Y42" s="250">
        <f t="shared" si="12"/>
        <v>0</v>
      </c>
    </row>
    <row r="43" spans="1:25" x14ac:dyDescent="0.25">
      <c r="A43" s="108">
        <f>Données!A43</f>
        <v>5475</v>
      </c>
      <c r="B43" s="116" t="str">
        <f>Données!B43</f>
        <v>Chavannes-le-Veyron</v>
      </c>
      <c r="C43" s="249">
        <f>Données!C43</f>
        <v>160</v>
      </c>
      <c r="D43" s="262"/>
      <c r="E43" s="246">
        <f>Données!X43</f>
        <v>264</v>
      </c>
      <c r="F43" s="283">
        <f t="shared" si="0"/>
        <v>1.65</v>
      </c>
      <c r="G43" s="262">
        <f t="shared" si="1"/>
        <v>120.0185328185328</v>
      </c>
      <c r="H43" s="270">
        <f t="shared" si="6"/>
        <v>143.9814671814672</v>
      </c>
      <c r="I43" s="284">
        <f t="shared" si="7"/>
        <v>-15395</v>
      </c>
      <c r="J43" s="262"/>
      <c r="K43" s="271">
        <f>Données!Y43</f>
        <v>0</v>
      </c>
      <c r="L43" s="418">
        <f>Données!Z43</f>
        <v>6.0999999999999999E-2</v>
      </c>
      <c r="M43" s="262">
        <f t="shared" si="2"/>
        <v>35.87294757665677</v>
      </c>
      <c r="N43" s="284">
        <f t="shared" si="3"/>
        <v>0</v>
      </c>
      <c r="O43" s="262"/>
      <c r="P43" s="246">
        <f>Données!AA43</f>
        <v>28</v>
      </c>
      <c r="Q43" s="281">
        <f>Données!AB43</f>
        <v>19</v>
      </c>
      <c r="R43" s="233">
        <f t="shared" si="8"/>
        <v>30.85</v>
      </c>
      <c r="S43" s="285">
        <f t="shared" si="4"/>
        <v>0.1928125</v>
      </c>
      <c r="T43" s="270">
        <f t="shared" si="5"/>
        <v>21.79141104294478</v>
      </c>
      <c r="U43" s="270">
        <f t="shared" si="9"/>
        <v>9.0585889570552212</v>
      </c>
      <c r="V43" s="284">
        <f t="shared" si="10"/>
        <v>-38743</v>
      </c>
      <c r="W43" s="337"/>
      <c r="X43" s="233">
        <f t="shared" si="11"/>
        <v>-12189.317507418398</v>
      </c>
      <c r="Y43" s="250">
        <f t="shared" si="12"/>
        <v>-26553.682492581604</v>
      </c>
    </row>
    <row r="44" spans="1:25" x14ac:dyDescent="0.25">
      <c r="A44" s="108">
        <f>Données!A44</f>
        <v>5476</v>
      </c>
      <c r="B44" s="116" t="str">
        <f>Données!B44</f>
        <v>Chevilly</v>
      </c>
      <c r="C44" s="249">
        <f>Données!C44</f>
        <v>345</v>
      </c>
      <c r="D44" s="262"/>
      <c r="E44" s="246">
        <f>Données!X44</f>
        <v>381</v>
      </c>
      <c r="F44" s="283">
        <f t="shared" si="0"/>
        <v>1.1043478260869566</v>
      </c>
      <c r="G44" s="262">
        <f t="shared" si="1"/>
        <v>258.78996138996138</v>
      </c>
      <c r="H44" s="270">
        <f t="shared" si="6"/>
        <v>122.21003861003862</v>
      </c>
      <c r="I44" s="284">
        <f t="shared" si="7"/>
        <v>-13067</v>
      </c>
      <c r="J44" s="262"/>
      <c r="K44" s="271">
        <f>Données!Y44</f>
        <v>0</v>
      </c>
      <c r="L44" s="418">
        <f>Données!Z44</f>
        <v>9.0999999999999998E-2</v>
      </c>
      <c r="M44" s="262">
        <f t="shared" si="2"/>
        <v>53.515380811078138</v>
      </c>
      <c r="N44" s="284">
        <f t="shared" si="3"/>
        <v>0</v>
      </c>
      <c r="O44" s="262"/>
      <c r="P44" s="246">
        <f>Données!AA44</f>
        <v>49</v>
      </c>
      <c r="Q44" s="281">
        <f>Données!AB44</f>
        <v>49</v>
      </c>
      <c r="R44" s="233">
        <f t="shared" si="8"/>
        <v>56.35</v>
      </c>
      <c r="S44" s="285">
        <f t="shared" si="4"/>
        <v>0.16333333333333333</v>
      </c>
      <c r="T44" s="270">
        <f t="shared" si="5"/>
        <v>46.98773006134968</v>
      </c>
      <c r="U44" s="270">
        <f t="shared" si="9"/>
        <v>9.3622699386503214</v>
      </c>
      <c r="V44" s="284">
        <f t="shared" si="10"/>
        <v>-40042</v>
      </c>
      <c r="W44" s="337"/>
      <c r="X44" s="233">
        <f t="shared" si="11"/>
        <v>-31435.608308605337</v>
      </c>
      <c r="Y44" s="250">
        <f t="shared" si="12"/>
        <v>-8606.3916913946632</v>
      </c>
    </row>
    <row r="45" spans="1:25" x14ac:dyDescent="0.25">
      <c r="A45" s="108">
        <f>Données!A45</f>
        <v>5477</v>
      </c>
      <c r="B45" s="116" t="str">
        <f>Données!B45</f>
        <v>Cossonay</v>
      </c>
      <c r="C45" s="249">
        <f>Données!C45</f>
        <v>4974</v>
      </c>
      <c r="D45" s="262"/>
      <c r="E45" s="246">
        <f>Données!X45</f>
        <v>818</v>
      </c>
      <c r="F45" s="283">
        <f t="shared" si="0"/>
        <v>0.16445516686771211</v>
      </c>
      <c r="G45" s="262">
        <f t="shared" si="1"/>
        <v>3731.0761389961385</v>
      </c>
      <c r="H45" s="270">
        <f t="shared" si="6"/>
        <v>0</v>
      </c>
      <c r="I45" s="284">
        <f t="shared" si="7"/>
        <v>0</v>
      </c>
      <c r="J45" s="262"/>
      <c r="K45" s="271">
        <f>Données!Y45</f>
        <v>0</v>
      </c>
      <c r="L45" s="418">
        <f>Données!Z45</f>
        <v>0.06</v>
      </c>
      <c r="M45" s="262">
        <f t="shared" si="2"/>
        <v>35.284866468842729</v>
      </c>
      <c r="N45" s="284">
        <f t="shared" si="3"/>
        <v>0</v>
      </c>
      <c r="O45" s="262"/>
      <c r="P45" s="246">
        <f>Données!AA45</f>
        <v>600</v>
      </c>
      <c r="Q45" s="281">
        <f>Données!AB45</f>
        <v>79</v>
      </c>
      <c r="R45" s="233">
        <f t="shared" si="8"/>
        <v>611.85</v>
      </c>
      <c r="S45" s="285">
        <f t="shared" si="4"/>
        <v>0.1230096501809409</v>
      </c>
      <c r="T45" s="270">
        <f t="shared" si="5"/>
        <v>677.44049079754586</v>
      </c>
      <c r="U45" s="270">
        <f t="shared" si="9"/>
        <v>0</v>
      </c>
      <c r="V45" s="284">
        <f t="shared" si="10"/>
        <v>0</v>
      </c>
      <c r="W45" s="337"/>
      <c r="X45" s="233">
        <f t="shared" si="11"/>
        <v>0</v>
      </c>
      <c r="Y45" s="250">
        <f t="shared" si="12"/>
        <v>0</v>
      </c>
    </row>
    <row r="46" spans="1:25" x14ac:dyDescent="0.25">
      <c r="A46" s="108">
        <f>Données!A46</f>
        <v>5479</v>
      </c>
      <c r="B46" s="116" t="str">
        <f>Données!B46</f>
        <v>Cuarnens</v>
      </c>
      <c r="C46" s="249">
        <f>Données!C46</f>
        <v>557</v>
      </c>
      <c r="D46" s="262"/>
      <c r="E46" s="246">
        <f>Données!X46</f>
        <v>704</v>
      </c>
      <c r="F46" s="283">
        <f t="shared" si="0"/>
        <v>1.2639138240574506</v>
      </c>
      <c r="G46" s="262">
        <f t="shared" si="1"/>
        <v>417.81451737451732</v>
      </c>
      <c r="H46" s="270">
        <f t="shared" si="6"/>
        <v>286.18548262548268</v>
      </c>
      <c r="I46" s="284">
        <f t="shared" si="7"/>
        <v>-30600</v>
      </c>
      <c r="J46" s="262"/>
      <c r="K46" s="271">
        <f>Données!Y46</f>
        <v>0</v>
      </c>
      <c r="L46" s="418">
        <f>Données!Z46</f>
        <v>2.1000000000000001E-2</v>
      </c>
      <c r="M46" s="262">
        <f t="shared" si="2"/>
        <v>12.349703264094956</v>
      </c>
      <c r="N46" s="284">
        <f t="shared" si="3"/>
        <v>0</v>
      </c>
      <c r="O46" s="262"/>
      <c r="P46" s="246">
        <f>Données!AA46</f>
        <v>85</v>
      </c>
      <c r="Q46" s="281">
        <f>Données!AB46</f>
        <v>50</v>
      </c>
      <c r="R46" s="233">
        <f t="shared" si="8"/>
        <v>92.5</v>
      </c>
      <c r="S46" s="285">
        <f t="shared" si="4"/>
        <v>0.16606822262118492</v>
      </c>
      <c r="T46" s="270">
        <f t="shared" si="5"/>
        <v>75.861349693251512</v>
      </c>
      <c r="U46" s="270">
        <f t="shared" si="9"/>
        <v>16.638650306748488</v>
      </c>
      <c r="V46" s="284">
        <f t="shared" si="10"/>
        <v>-71163</v>
      </c>
      <c r="W46" s="337"/>
      <c r="X46" s="233">
        <f t="shared" si="11"/>
        <v>-32077.15133531157</v>
      </c>
      <c r="Y46" s="250">
        <f t="shared" si="12"/>
        <v>-39085.848664688427</v>
      </c>
    </row>
    <row r="47" spans="1:25" x14ac:dyDescent="0.25">
      <c r="A47" s="108">
        <f>Données!A47</f>
        <v>5480</v>
      </c>
      <c r="B47" s="116" t="str">
        <f>Données!B47</f>
        <v>Daillens</v>
      </c>
      <c r="C47" s="249">
        <f>Données!C47</f>
        <v>1113</v>
      </c>
      <c r="D47" s="262"/>
      <c r="E47" s="246">
        <f>Données!X47</f>
        <v>546</v>
      </c>
      <c r="F47" s="283">
        <f t="shared" si="0"/>
        <v>0.49056603773584906</v>
      </c>
      <c r="G47" s="262">
        <f t="shared" si="1"/>
        <v>834.87891891891888</v>
      </c>
      <c r="H47" s="270">
        <f t="shared" si="6"/>
        <v>0</v>
      </c>
      <c r="I47" s="284">
        <f t="shared" si="7"/>
        <v>0</v>
      </c>
      <c r="J47" s="262"/>
      <c r="K47" s="271">
        <f>Données!Y47</f>
        <v>0</v>
      </c>
      <c r="L47" s="418">
        <f>Données!Z47</f>
        <v>9.4E-2</v>
      </c>
      <c r="M47" s="262">
        <f t="shared" si="2"/>
        <v>55.279624134520276</v>
      </c>
      <c r="N47" s="284">
        <f t="shared" si="3"/>
        <v>0</v>
      </c>
      <c r="O47" s="262"/>
      <c r="P47" s="246">
        <f>Données!AA47</f>
        <v>156</v>
      </c>
      <c r="Q47" s="281">
        <f>Données!AB47</f>
        <v>107</v>
      </c>
      <c r="R47" s="233">
        <f t="shared" si="8"/>
        <v>172.05</v>
      </c>
      <c r="S47" s="285">
        <f t="shared" si="4"/>
        <v>0.15458221024258761</v>
      </c>
      <c r="T47" s="270">
        <f t="shared" si="5"/>
        <v>151.58650306748461</v>
      </c>
      <c r="U47" s="270">
        <f t="shared" si="9"/>
        <v>20.463496932515397</v>
      </c>
      <c r="V47" s="284">
        <f t="shared" si="10"/>
        <v>-87521</v>
      </c>
      <c r="W47" s="337"/>
      <c r="X47" s="233">
        <f t="shared" si="11"/>
        <v>-68645.103857566763</v>
      </c>
      <c r="Y47" s="250">
        <f t="shared" si="12"/>
        <v>-18875.896142433237</v>
      </c>
    </row>
    <row r="48" spans="1:25" x14ac:dyDescent="0.25">
      <c r="A48" s="108">
        <f>Données!A48</f>
        <v>5481</v>
      </c>
      <c r="B48" s="116" t="str">
        <f>Données!B48</f>
        <v>Dizy</v>
      </c>
      <c r="C48" s="249">
        <f>Données!C48</f>
        <v>239</v>
      </c>
      <c r="D48" s="262"/>
      <c r="E48" s="246">
        <f>Données!X48</f>
        <v>304</v>
      </c>
      <c r="F48" s="283">
        <f t="shared" si="0"/>
        <v>1.2719665271966527</v>
      </c>
      <c r="G48" s="262">
        <f t="shared" si="1"/>
        <v>179.27768339768338</v>
      </c>
      <c r="H48" s="270">
        <f t="shared" si="6"/>
        <v>124.72231660231662</v>
      </c>
      <c r="I48" s="284">
        <f t="shared" si="7"/>
        <v>-13336</v>
      </c>
      <c r="J48" s="262"/>
      <c r="K48" s="271">
        <f>Données!Y48</f>
        <v>0</v>
      </c>
      <c r="L48" s="418">
        <f>Données!Z48</f>
        <v>3.5000000000000003E-2</v>
      </c>
      <c r="M48" s="262">
        <f t="shared" si="2"/>
        <v>20.582838773491595</v>
      </c>
      <c r="N48" s="284">
        <f t="shared" si="3"/>
        <v>0</v>
      </c>
      <c r="O48" s="262"/>
      <c r="P48" s="246">
        <f>Données!AA48</f>
        <v>30</v>
      </c>
      <c r="Q48" s="281">
        <f>Données!AB48</f>
        <v>30</v>
      </c>
      <c r="R48" s="233">
        <f t="shared" si="8"/>
        <v>34.5</v>
      </c>
      <c r="S48" s="285">
        <f t="shared" si="4"/>
        <v>0.14435146443514643</v>
      </c>
      <c r="T48" s="270">
        <f t="shared" si="5"/>
        <v>32.550920245398764</v>
      </c>
      <c r="U48" s="270">
        <f t="shared" si="9"/>
        <v>1.9490797546012359</v>
      </c>
      <c r="V48" s="284">
        <f t="shared" si="10"/>
        <v>-8336</v>
      </c>
      <c r="W48" s="337"/>
      <c r="X48" s="233">
        <f t="shared" si="11"/>
        <v>-8336</v>
      </c>
      <c r="Y48" s="250">
        <f t="shared" si="12"/>
        <v>0</v>
      </c>
    </row>
    <row r="49" spans="1:25" x14ac:dyDescent="0.25">
      <c r="A49" s="108">
        <f>Données!A49</f>
        <v>5482</v>
      </c>
      <c r="B49" s="116" t="str">
        <f>Données!B49</f>
        <v>Eclépens</v>
      </c>
      <c r="C49" s="249">
        <f>Données!C49</f>
        <v>1202</v>
      </c>
      <c r="D49" s="262"/>
      <c r="E49" s="246">
        <f>Données!X49</f>
        <v>576</v>
      </c>
      <c r="F49" s="283">
        <f t="shared" si="0"/>
        <v>0.47920133111480867</v>
      </c>
      <c r="G49" s="262">
        <f t="shared" si="1"/>
        <v>901.63922779922768</v>
      </c>
      <c r="H49" s="270">
        <f t="shared" si="6"/>
        <v>0</v>
      </c>
      <c r="I49" s="284">
        <f t="shared" si="7"/>
        <v>0</v>
      </c>
      <c r="J49" s="262"/>
      <c r="K49" s="271">
        <f>Données!Y49</f>
        <v>0</v>
      </c>
      <c r="L49" s="418">
        <f>Données!Z49</f>
        <v>0.125</v>
      </c>
      <c r="M49" s="262">
        <f t="shared" si="2"/>
        <v>73.510138476755685</v>
      </c>
      <c r="N49" s="284">
        <f t="shared" si="3"/>
        <v>0</v>
      </c>
      <c r="O49" s="262"/>
      <c r="P49" s="246">
        <f>Données!AA49</f>
        <v>152</v>
      </c>
      <c r="Q49" s="281">
        <f>Données!AB49</f>
        <v>9</v>
      </c>
      <c r="R49" s="233">
        <f t="shared" si="8"/>
        <v>153.35</v>
      </c>
      <c r="S49" s="285">
        <f t="shared" si="4"/>
        <v>0.12757903494176373</v>
      </c>
      <c r="T49" s="270">
        <f t="shared" si="5"/>
        <v>163.70797546012267</v>
      </c>
      <c r="U49" s="270">
        <f t="shared" si="9"/>
        <v>0</v>
      </c>
      <c r="V49" s="284">
        <f t="shared" si="10"/>
        <v>0</v>
      </c>
      <c r="W49" s="337"/>
      <c r="X49" s="233">
        <f t="shared" si="11"/>
        <v>0</v>
      </c>
      <c r="Y49" s="250">
        <f t="shared" si="12"/>
        <v>0</v>
      </c>
    </row>
    <row r="50" spans="1:25" x14ac:dyDescent="0.25">
      <c r="A50" s="108">
        <f>Données!A50</f>
        <v>5483</v>
      </c>
      <c r="B50" s="116" t="str">
        <f>Données!B50</f>
        <v>Ferreyres</v>
      </c>
      <c r="C50" s="249">
        <f>Données!C50</f>
        <v>308</v>
      </c>
      <c r="D50" s="262"/>
      <c r="E50" s="246">
        <f>Données!X50</f>
        <v>315</v>
      </c>
      <c r="F50" s="283">
        <f t="shared" si="0"/>
        <v>1.0227272727272727</v>
      </c>
      <c r="G50" s="262">
        <f t="shared" si="1"/>
        <v>231.03567567567566</v>
      </c>
      <c r="H50" s="270">
        <f t="shared" si="6"/>
        <v>83.964324324324338</v>
      </c>
      <c r="I50" s="284">
        <f t="shared" si="7"/>
        <v>-8978</v>
      </c>
      <c r="J50" s="262"/>
      <c r="K50" s="271">
        <f>Données!Y50</f>
        <v>0</v>
      </c>
      <c r="L50" s="418">
        <f>Données!Z50</f>
        <v>3.5999999999999997E-2</v>
      </c>
      <c r="M50" s="262">
        <f t="shared" si="2"/>
        <v>21.170919881305636</v>
      </c>
      <c r="N50" s="284">
        <f t="shared" si="3"/>
        <v>0</v>
      </c>
      <c r="O50" s="262"/>
      <c r="P50" s="246">
        <f>Données!AA50</f>
        <v>41</v>
      </c>
      <c r="Q50" s="281">
        <f>Données!AB50</f>
        <v>29</v>
      </c>
      <c r="R50" s="233">
        <f t="shared" si="8"/>
        <v>45.35</v>
      </c>
      <c r="S50" s="285">
        <f t="shared" si="4"/>
        <v>0.14724025974025975</v>
      </c>
      <c r="T50" s="270">
        <f t="shared" si="5"/>
        <v>41.948466257668699</v>
      </c>
      <c r="U50" s="270">
        <f t="shared" si="9"/>
        <v>3.4015337423313028</v>
      </c>
      <c r="V50" s="284">
        <f t="shared" si="10"/>
        <v>-14548</v>
      </c>
      <c r="W50" s="337"/>
      <c r="X50" s="233">
        <f t="shared" si="11"/>
        <v>-14548</v>
      </c>
      <c r="Y50" s="250">
        <f t="shared" si="12"/>
        <v>0</v>
      </c>
    </row>
    <row r="51" spans="1:25" x14ac:dyDescent="0.25">
      <c r="A51" s="108">
        <f>Données!A51</f>
        <v>5484</v>
      </c>
      <c r="B51" s="116" t="str">
        <f>Données!B51</f>
        <v>Gollion</v>
      </c>
      <c r="C51" s="249">
        <f>Données!C51</f>
        <v>1091</v>
      </c>
      <c r="D51" s="262"/>
      <c r="E51" s="246">
        <f>Données!X51</f>
        <v>546</v>
      </c>
      <c r="F51" s="283">
        <f t="shared" si="0"/>
        <v>0.50045829514207152</v>
      </c>
      <c r="G51" s="262">
        <f t="shared" si="1"/>
        <v>818.37637065637057</v>
      </c>
      <c r="H51" s="270">
        <f t="shared" si="6"/>
        <v>0</v>
      </c>
      <c r="I51" s="284">
        <f t="shared" si="7"/>
        <v>0</v>
      </c>
      <c r="J51" s="262"/>
      <c r="K51" s="271">
        <f>Données!Y51</f>
        <v>0</v>
      </c>
      <c r="L51" s="418">
        <f>Données!Z51</f>
        <v>7.9000000000000001E-2</v>
      </c>
      <c r="M51" s="262">
        <f t="shared" si="2"/>
        <v>46.458407517309595</v>
      </c>
      <c r="N51" s="284">
        <f t="shared" si="3"/>
        <v>0</v>
      </c>
      <c r="O51" s="262"/>
      <c r="P51" s="246">
        <f>Données!AA51</f>
        <v>147</v>
      </c>
      <c r="Q51" s="281">
        <f>Données!AB51</f>
        <v>63</v>
      </c>
      <c r="R51" s="233">
        <f t="shared" si="8"/>
        <v>156.44999999999999</v>
      </c>
      <c r="S51" s="285">
        <f t="shared" si="4"/>
        <v>0.14340054995417048</v>
      </c>
      <c r="T51" s="270">
        <f t="shared" si="5"/>
        <v>148.59018404907971</v>
      </c>
      <c r="U51" s="270">
        <f t="shared" si="9"/>
        <v>7.8598159509202787</v>
      </c>
      <c r="V51" s="284">
        <f t="shared" si="10"/>
        <v>-33616</v>
      </c>
      <c r="W51" s="337"/>
      <c r="X51" s="233">
        <f t="shared" si="11"/>
        <v>-33616</v>
      </c>
      <c r="Y51" s="250">
        <f t="shared" si="12"/>
        <v>0</v>
      </c>
    </row>
    <row r="52" spans="1:25" x14ac:dyDescent="0.25">
      <c r="A52" s="108">
        <f>Données!A52</f>
        <v>5485</v>
      </c>
      <c r="B52" s="116" t="str">
        <f>Données!B52</f>
        <v>Grancy</v>
      </c>
      <c r="C52" s="249">
        <f>Données!C52</f>
        <v>541</v>
      </c>
      <c r="D52" s="262"/>
      <c r="E52" s="246">
        <f>Données!X52</f>
        <v>563</v>
      </c>
      <c r="F52" s="283">
        <f t="shared" si="0"/>
        <v>1.0406654343807764</v>
      </c>
      <c r="G52" s="262">
        <f t="shared" si="1"/>
        <v>405.81266409266408</v>
      </c>
      <c r="H52" s="270">
        <f t="shared" si="6"/>
        <v>157.18733590733592</v>
      </c>
      <c r="I52" s="284">
        <f t="shared" si="7"/>
        <v>-16807</v>
      </c>
      <c r="J52" s="262"/>
      <c r="K52" s="271">
        <f>Données!Y52</f>
        <v>0</v>
      </c>
      <c r="L52" s="418">
        <f>Données!Z52</f>
        <v>2.3E-2</v>
      </c>
      <c r="M52" s="262">
        <f t="shared" si="2"/>
        <v>13.525865479723047</v>
      </c>
      <c r="N52" s="284">
        <f t="shared" si="3"/>
        <v>0</v>
      </c>
      <c r="O52" s="262"/>
      <c r="P52" s="246">
        <f>Données!AA52</f>
        <v>77</v>
      </c>
      <c r="Q52" s="281">
        <f>Données!AB52</f>
        <v>58</v>
      </c>
      <c r="R52" s="233">
        <f t="shared" si="8"/>
        <v>85.7</v>
      </c>
      <c r="S52" s="285">
        <f t="shared" si="4"/>
        <v>0.15841035120147876</v>
      </c>
      <c r="T52" s="270">
        <f t="shared" si="5"/>
        <v>73.682208588957039</v>
      </c>
      <c r="U52" s="270">
        <f t="shared" si="9"/>
        <v>12.017791411042964</v>
      </c>
      <c r="V52" s="284">
        <f t="shared" si="10"/>
        <v>-51400</v>
      </c>
      <c r="W52" s="337"/>
      <c r="X52" s="233">
        <f t="shared" si="11"/>
        <v>-37209.495548961422</v>
      </c>
      <c r="Y52" s="250">
        <f t="shared" si="12"/>
        <v>-14190.504451038578</v>
      </c>
    </row>
    <row r="53" spans="1:25" x14ac:dyDescent="0.25">
      <c r="A53" s="108">
        <f>Données!A53</f>
        <v>5486</v>
      </c>
      <c r="B53" s="116" t="str">
        <f>Données!B53</f>
        <v>L'Isle</v>
      </c>
      <c r="C53" s="249">
        <f>Données!C53</f>
        <v>1106</v>
      </c>
      <c r="D53" s="262"/>
      <c r="E53" s="246">
        <f>Données!X53</f>
        <v>1619</v>
      </c>
      <c r="F53" s="283">
        <f t="shared" si="0"/>
        <v>1.4638336347197107</v>
      </c>
      <c r="G53" s="262">
        <f t="shared" si="1"/>
        <v>829.62810810810799</v>
      </c>
      <c r="H53" s="270">
        <f t="shared" si="6"/>
        <v>789.37189189189201</v>
      </c>
      <c r="I53" s="284">
        <f t="shared" si="7"/>
        <v>-84403</v>
      </c>
      <c r="J53" s="262"/>
      <c r="K53" s="271">
        <f>Données!Y53</f>
        <v>107</v>
      </c>
      <c r="L53" s="418">
        <f>Données!Z53</f>
        <v>0.122</v>
      </c>
      <c r="M53" s="262">
        <f t="shared" si="2"/>
        <v>71.745895153313541</v>
      </c>
      <c r="N53" s="284">
        <f t="shared" si="3"/>
        <v>-7677</v>
      </c>
      <c r="O53" s="262"/>
      <c r="P53" s="246">
        <f>Données!AA53</f>
        <v>126</v>
      </c>
      <c r="Q53" s="281">
        <f>Données!AB53</f>
        <v>96</v>
      </c>
      <c r="R53" s="233">
        <f t="shared" si="8"/>
        <v>140.4</v>
      </c>
      <c r="S53" s="285">
        <f t="shared" si="4"/>
        <v>0.12694394213381555</v>
      </c>
      <c r="T53" s="270">
        <f t="shared" si="5"/>
        <v>150.6331288343558</v>
      </c>
      <c r="U53" s="270">
        <f t="shared" si="9"/>
        <v>0</v>
      </c>
      <c r="V53" s="284">
        <f t="shared" si="10"/>
        <v>0</v>
      </c>
      <c r="W53" s="337"/>
      <c r="X53" s="233">
        <f t="shared" si="11"/>
        <v>0</v>
      </c>
      <c r="Y53" s="250">
        <f t="shared" si="12"/>
        <v>0</v>
      </c>
    </row>
    <row r="54" spans="1:25" x14ac:dyDescent="0.25">
      <c r="A54" s="108">
        <f>Données!A54</f>
        <v>5487</v>
      </c>
      <c r="B54" s="116" t="str">
        <f>Données!B54</f>
        <v>Lussery-Villars</v>
      </c>
      <c r="C54" s="249">
        <f>Données!C54</f>
        <v>469</v>
      </c>
      <c r="D54" s="262"/>
      <c r="E54" s="246">
        <f>Données!X54</f>
        <v>367</v>
      </c>
      <c r="F54" s="283">
        <f t="shared" si="0"/>
        <v>0.78251599147121531</v>
      </c>
      <c r="G54" s="262">
        <f t="shared" si="1"/>
        <v>351.80432432432428</v>
      </c>
      <c r="H54" s="270">
        <f t="shared" si="6"/>
        <v>15.195675675675716</v>
      </c>
      <c r="I54" s="284">
        <f t="shared" si="7"/>
        <v>-1625</v>
      </c>
      <c r="J54" s="262"/>
      <c r="K54" s="271">
        <f>Données!Y54</f>
        <v>0</v>
      </c>
      <c r="L54" s="418">
        <f>Données!Z54</f>
        <v>2.3E-2</v>
      </c>
      <c r="M54" s="262">
        <f t="shared" si="2"/>
        <v>13.525865479723047</v>
      </c>
      <c r="N54" s="284">
        <f t="shared" si="3"/>
        <v>0</v>
      </c>
      <c r="O54" s="262"/>
      <c r="P54" s="246">
        <f>Données!AA54</f>
        <v>52</v>
      </c>
      <c r="Q54" s="281">
        <f>Données!AB54</f>
        <v>52</v>
      </c>
      <c r="R54" s="233">
        <f t="shared" si="8"/>
        <v>59.8</v>
      </c>
      <c r="S54" s="285">
        <f t="shared" si="4"/>
        <v>0.12750533049040511</v>
      </c>
      <c r="T54" s="270">
        <f t="shared" si="5"/>
        <v>63.876073619631882</v>
      </c>
      <c r="U54" s="270">
        <f t="shared" si="9"/>
        <v>0</v>
      </c>
      <c r="V54" s="284">
        <f t="shared" si="10"/>
        <v>0</v>
      </c>
      <c r="W54" s="337"/>
      <c r="X54" s="233">
        <f t="shared" si="11"/>
        <v>0</v>
      </c>
      <c r="Y54" s="250">
        <f t="shared" si="12"/>
        <v>0</v>
      </c>
    </row>
    <row r="55" spans="1:25" x14ac:dyDescent="0.25">
      <c r="A55" s="108">
        <f>Données!A55</f>
        <v>5488</v>
      </c>
      <c r="B55" s="116" t="str">
        <f>Données!B55</f>
        <v>Mauraz</v>
      </c>
      <c r="C55" s="249">
        <f>Données!C55</f>
        <v>74</v>
      </c>
      <c r="D55" s="262"/>
      <c r="E55" s="246">
        <f>Données!X55</f>
        <v>46</v>
      </c>
      <c r="F55" s="283">
        <f t="shared" si="0"/>
        <v>0.6216216216216216</v>
      </c>
      <c r="G55" s="262">
        <f t="shared" si="1"/>
        <v>55.508571428571422</v>
      </c>
      <c r="H55" s="270">
        <f t="shared" si="6"/>
        <v>0</v>
      </c>
      <c r="I55" s="284">
        <f t="shared" si="7"/>
        <v>0</v>
      </c>
      <c r="J55" s="262"/>
      <c r="K55" s="271">
        <f>Données!Y55</f>
        <v>0</v>
      </c>
      <c r="L55" s="418">
        <f>Données!Z55</f>
        <v>7.9000000000000001E-2</v>
      </c>
      <c r="M55" s="262">
        <f t="shared" si="2"/>
        <v>46.458407517309595</v>
      </c>
      <c r="N55" s="284">
        <f t="shared" si="3"/>
        <v>0</v>
      </c>
      <c r="O55" s="262"/>
      <c r="P55" s="246">
        <f>Données!AA55</f>
        <v>8</v>
      </c>
      <c r="Q55" s="281">
        <f>Données!AB55</f>
        <v>8</v>
      </c>
      <c r="R55" s="233">
        <f t="shared" si="8"/>
        <v>9.1999999999999993</v>
      </c>
      <c r="S55" s="285">
        <f t="shared" si="4"/>
        <v>0.12432432432432432</v>
      </c>
      <c r="T55" s="270">
        <f t="shared" si="5"/>
        <v>10.078527607361961</v>
      </c>
      <c r="U55" s="270">
        <f t="shared" si="9"/>
        <v>0</v>
      </c>
      <c r="V55" s="284">
        <f t="shared" si="10"/>
        <v>0</v>
      </c>
      <c r="W55" s="337"/>
      <c r="X55" s="233">
        <f t="shared" si="11"/>
        <v>0</v>
      </c>
      <c r="Y55" s="250">
        <f t="shared" si="12"/>
        <v>0</v>
      </c>
    </row>
    <row r="56" spans="1:25" x14ac:dyDescent="0.25">
      <c r="A56" s="108">
        <f>Données!A56</f>
        <v>5489</v>
      </c>
      <c r="B56" s="116" t="str">
        <f>Données!B56</f>
        <v>Mex</v>
      </c>
      <c r="C56" s="249">
        <f>Données!C56</f>
        <v>828</v>
      </c>
      <c r="D56" s="262"/>
      <c r="E56" s="246">
        <f>Données!X56</f>
        <v>290</v>
      </c>
      <c r="F56" s="283">
        <f t="shared" si="0"/>
        <v>0.35024154589371981</v>
      </c>
      <c r="G56" s="262">
        <f t="shared" si="1"/>
        <v>621.09590733590733</v>
      </c>
      <c r="H56" s="270">
        <f t="shared" si="6"/>
        <v>0</v>
      </c>
      <c r="I56" s="284">
        <f t="shared" si="7"/>
        <v>0</v>
      </c>
      <c r="J56" s="262"/>
      <c r="K56" s="271">
        <f>Données!Y56</f>
        <v>0</v>
      </c>
      <c r="L56" s="418">
        <f>Données!Z56</f>
        <v>6.5000000000000002E-2</v>
      </c>
      <c r="M56" s="262">
        <f t="shared" si="2"/>
        <v>38.225272007912956</v>
      </c>
      <c r="N56" s="284">
        <f t="shared" si="3"/>
        <v>0</v>
      </c>
      <c r="O56" s="262"/>
      <c r="P56" s="246">
        <f>Données!AA56</f>
        <v>97</v>
      </c>
      <c r="Q56" s="281">
        <f>Données!AB56</f>
        <v>66</v>
      </c>
      <c r="R56" s="233">
        <f t="shared" si="8"/>
        <v>106.9</v>
      </c>
      <c r="S56" s="285">
        <f t="shared" si="4"/>
        <v>0.12910628019323672</v>
      </c>
      <c r="T56" s="270">
        <f t="shared" si="5"/>
        <v>112.77055214723923</v>
      </c>
      <c r="U56" s="270">
        <f t="shared" si="9"/>
        <v>0</v>
      </c>
      <c r="V56" s="284">
        <f t="shared" si="10"/>
        <v>0</v>
      </c>
      <c r="W56" s="337"/>
      <c r="X56" s="233">
        <f t="shared" si="11"/>
        <v>0</v>
      </c>
      <c r="Y56" s="250">
        <f t="shared" si="12"/>
        <v>0</v>
      </c>
    </row>
    <row r="57" spans="1:25" x14ac:dyDescent="0.25">
      <c r="A57" s="108">
        <f>Données!A57</f>
        <v>5490</v>
      </c>
      <c r="B57" s="116" t="str">
        <f>Données!B57</f>
        <v>Moiry</v>
      </c>
      <c r="C57" s="249">
        <f>Données!C57</f>
        <v>295</v>
      </c>
      <c r="D57" s="262"/>
      <c r="E57" s="246">
        <f>Données!X57</f>
        <v>667</v>
      </c>
      <c r="F57" s="283">
        <f t="shared" si="0"/>
        <v>2.2610169491525425</v>
      </c>
      <c r="G57" s="262">
        <f t="shared" si="1"/>
        <v>221.28416988416987</v>
      </c>
      <c r="H57" s="270">
        <f t="shared" si="6"/>
        <v>445.71583011583016</v>
      </c>
      <c r="I57" s="284">
        <f t="shared" si="7"/>
        <v>-47658</v>
      </c>
      <c r="J57" s="262"/>
      <c r="K57" s="271">
        <f>Données!Y57</f>
        <v>0</v>
      </c>
      <c r="L57" s="418">
        <f>Données!Z57</f>
        <v>0.02</v>
      </c>
      <c r="M57" s="262">
        <f t="shared" si="2"/>
        <v>11.761622156280909</v>
      </c>
      <c r="N57" s="284">
        <f t="shared" si="3"/>
        <v>0</v>
      </c>
      <c r="O57" s="262"/>
      <c r="P57" s="246">
        <f>Données!AA57</f>
        <v>40</v>
      </c>
      <c r="Q57" s="281">
        <f>Données!AB57</f>
        <v>25</v>
      </c>
      <c r="R57" s="233">
        <f t="shared" si="8"/>
        <v>43.75</v>
      </c>
      <c r="S57" s="285">
        <f t="shared" si="4"/>
        <v>0.14830508474576271</v>
      </c>
      <c r="T57" s="270">
        <f t="shared" si="5"/>
        <v>40.177914110429434</v>
      </c>
      <c r="U57" s="270">
        <f t="shared" si="9"/>
        <v>3.5720858895705661</v>
      </c>
      <c r="V57" s="284">
        <f t="shared" si="10"/>
        <v>-15278</v>
      </c>
      <c r="W57" s="337"/>
      <c r="X57" s="233">
        <f t="shared" si="11"/>
        <v>-15278</v>
      </c>
      <c r="Y57" s="250">
        <f t="shared" si="12"/>
        <v>0</v>
      </c>
    </row>
    <row r="58" spans="1:25" x14ac:dyDescent="0.25">
      <c r="A58" s="108">
        <f>Données!A58</f>
        <v>5491</v>
      </c>
      <c r="B58" s="116" t="str">
        <f>Données!B58</f>
        <v>Mont-la-Ville</v>
      </c>
      <c r="C58" s="249">
        <f>Données!C58</f>
        <v>504</v>
      </c>
      <c r="D58" s="262"/>
      <c r="E58" s="246">
        <f>Données!X58</f>
        <v>1978</v>
      </c>
      <c r="F58" s="283">
        <f t="shared" si="0"/>
        <v>3.9246031746031744</v>
      </c>
      <c r="G58" s="262">
        <f t="shared" si="1"/>
        <v>378.05837837837834</v>
      </c>
      <c r="H58" s="270">
        <f t="shared" si="6"/>
        <v>1599.9416216216216</v>
      </c>
      <c r="I58" s="284">
        <f t="shared" si="7"/>
        <v>-171072</v>
      </c>
      <c r="J58" s="262"/>
      <c r="K58" s="271">
        <f>Données!Y58</f>
        <v>504</v>
      </c>
      <c r="L58" s="418">
        <f>Données!Z58</f>
        <v>0.14899999999999999</v>
      </c>
      <c r="M58" s="262">
        <f t="shared" si="2"/>
        <v>87.624085064292771</v>
      </c>
      <c r="N58" s="284">
        <f t="shared" si="3"/>
        <v>-44163</v>
      </c>
      <c r="O58" s="262"/>
      <c r="P58" s="246">
        <f>Données!AA58</f>
        <v>63</v>
      </c>
      <c r="Q58" s="281">
        <f>Données!AB58</f>
        <v>48</v>
      </c>
      <c r="R58" s="233">
        <f t="shared" si="8"/>
        <v>70.2</v>
      </c>
      <c r="S58" s="285">
        <f t="shared" si="4"/>
        <v>0.13928571428571429</v>
      </c>
      <c r="T58" s="270">
        <f t="shared" si="5"/>
        <v>68.642944785276057</v>
      </c>
      <c r="U58" s="270">
        <f t="shared" si="9"/>
        <v>1.5570552147239454</v>
      </c>
      <c r="V58" s="284">
        <f t="shared" si="10"/>
        <v>-6659</v>
      </c>
      <c r="W58" s="337"/>
      <c r="X58" s="233">
        <f t="shared" si="11"/>
        <v>-6659</v>
      </c>
      <c r="Y58" s="250">
        <f t="shared" si="12"/>
        <v>0</v>
      </c>
    </row>
    <row r="59" spans="1:25" x14ac:dyDescent="0.25">
      <c r="A59" s="108">
        <f>Données!A59</f>
        <v>5492</v>
      </c>
      <c r="B59" s="116" t="str">
        <f>Données!B59</f>
        <v>Montricher</v>
      </c>
      <c r="C59" s="249">
        <f>Données!C59</f>
        <v>947</v>
      </c>
      <c r="D59" s="262"/>
      <c r="E59" s="246">
        <f>Données!X59</f>
        <v>2579</v>
      </c>
      <c r="F59" s="283">
        <f t="shared" si="0"/>
        <v>2.723336853220697</v>
      </c>
      <c r="G59" s="262">
        <f t="shared" si="1"/>
        <v>710.35969111969109</v>
      </c>
      <c r="H59" s="270">
        <f t="shared" si="6"/>
        <v>1868.640308880309</v>
      </c>
      <c r="I59" s="284">
        <f t="shared" si="7"/>
        <v>-199802</v>
      </c>
      <c r="J59" s="262"/>
      <c r="K59" s="271">
        <f>Données!Y59</f>
        <v>722</v>
      </c>
      <c r="L59" s="418">
        <f>Données!Z59</f>
        <v>0.27700000000000002</v>
      </c>
      <c r="M59" s="262">
        <f t="shared" si="2"/>
        <v>162.89846686449062</v>
      </c>
      <c r="N59" s="284">
        <f t="shared" si="3"/>
        <v>-117613</v>
      </c>
      <c r="O59" s="262"/>
      <c r="P59" s="246">
        <f>Données!AA59</f>
        <v>95</v>
      </c>
      <c r="Q59" s="281">
        <f>Données!AB59</f>
        <v>57</v>
      </c>
      <c r="R59" s="233">
        <f t="shared" si="8"/>
        <v>103.55</v>
      </c>
      <c r="S59" s="285">
        <f t="shared" si="4"/>
        <v>0.10934530095036958</v>
      </c>
      <c r="T59" s="270">
        <f t="shared" si="5"/>
        <v>128.97791411042942</v>
      </c>
      <c r="U59" s="270">
        <f t="shared" si="9"/>
        <v>0</v>
      </c>
      <c r="V59" s="284">
        <f t="shared" si="10"/>
        <v>0</v>
      </c>
      <c r="W59" s="337"/>
      <c r="X59" s="233">
        <f t="shared" si="11"/>
        <v>0</v>
      </c>
      <c r="Y59" s="250">
        <f t="shared" si="12"/>
        <v>0</v>
      </c>
    </row>
    <row r="60" spans="1:25" x14ac:dyDescent="0.25">
      <c r="A60" s="108">
        <f>Données!A60</f>
        <v>5493</v>
      </c>
      <c r="B60" s="116" t="str">
        <f>Données!B60</f>
        <v>Orny</v>
      </c>
      <c r="C60" s="249">
        <f>Données!C60</f>
        <v>525</v>
      </c>
      <c r="D60" s="262"/>
      <c r="E60" s="246">
        <f>Données!X60</f>
        <v>545</v>
      </c>
      <c r="F60" s="283">
        <f t="shared" si="0"/>
        <v>1.0380952380952382</v>
      </c>
      <c r="G60" s="262">
        <f t="shared" si="1"/>
        <v>393.81081081081078</v>
      </c>
      <c r="H60" s="270">
        <f t="shared" si="6"/>
        <v>151.18918918918922</v>
      </c>
      <c r="I60" s="284">
        <f t="shared" si="7"/>
        <v>-16166</v>
      </c>
      <c r="J60" s="262"/>
      <c r="K60" s="271">
        <f>Données!Y60</f>
        <v>0</v>
      </c>
      <c r="L60" s="418">
        <f>Données!Z60</f>
        <v>8.1000000000000003E-2</v>
      </c>
      <c r="M60" s="262">
        <f t="shared" si="2"/>
        <v>47.634569732937685</v>
      </c>
      <c r="N60" s="284">
        <f t="shared" si="3"/>
        <v>0</v>
      </c>
      <c r="O60" s="262"/>
      <c r="P60" s="246">
        <f>Données!AA60</f>
        <v>58</v>
      </c>
      <c r="Q60" s="281">
        <f>Données!AB60</f>
        <v>1</v>
      </c>
      <c r="R60" s="233">
        <f t="shared" si="8"/>
        <v>58.15</v>
      </c>
      <c r="S60" s="285">
        <f t="shared" si="4"/>
        <v>0.11076190476190476</v>
      </c>
      <c r="T60" s="270">
        <f t="shared" si="5"/>
        <v>71.503067484662552</v>
      </c>
      <c r="U60" s="270">
        <f t="shared" si="9"/>
        <v>0</v>
      </c>
      <c r="V60" s="284">
        <f t="shared" si="10"/>
        <v>0</v>
      </c>
      <c r="W60" s="337"/>
      <c r="X60" s="233">
        <f t="shared" si="11"/>
        <v>0</v>
      </c>
      <c r="Y60" s="250">
        <f t="shared" si="12"/>
        <v>0</v>
      </c>
    </row>
    <row r="61" spans="1:25" x14ac:dyDescent="0.25">
      <c r="A61" s="108">
        <f>Données!A61</f>
        <v>5495</v>
      </c>
      <c r="B61" s="116" t="str">
        <f>Données!B61</f>
        <v>Penthalaz</v>
      </c>
      <c r="C61" s="249">
        <f>Données!C61</f>
        <v>3199</v>
      </c>
      <c r="D61" s="262"/>
      <c r="E61" s="246">
        <f>Données!X61</f>
        <v>380</v>
      </c>
      <c r="F61" s="283">
        <f t="shared" si="0"/>
        <v>0.11878712097530478</v>
      </c>
      <c r="G61" s="262">
        <f t="shared" si="1"/>
        <v>2399.6205405405403</v>
      </c>
      <c r="H61" s="270">
        <f t="shared" si="6"/>
        <v>0</v>
      </c>
      <c r="I61" s="284">
        <f t="shared" si="7"/>
        <v>0</v>
      </c>
      <c r="J61" s="262"/>
      <c r="K61" s="271">
        <f>Données!Y61</f>
        <v>0</v>
      </c>
      <c r="L61" s="418">
        <f>Données!Z61</f>
        <v>9.0999999999999998E-2</v>
      </c>
      <c r="M61" s="262">
        <f t="shared" si="2"/>
        <v>53.515380811078138</v>
      </c>
      <c r="N61" s="284">
        <f t="shared" si="3"/>
        <v>0</v>
      </c>
      <c r="O61" s="262"/>
      <c r="P61" s="246">
        <f>Données!AA61</f>
        <v>421</v>
      </c>
      <c r="Q61" s="281">
        <f>Données!AB61</f>
        <v>146</v>
      </c>
      <c r="R61" s="233">
        <f t="shared" si="8"/>
        <v>442.9</v>
      </c>
      <c r="S61" s="285">
        <f t="shared" si="4"/>
        <v>0.1384495154735855</v>
      </c>
      <c r="T61" s="270">
        <f t="shared" si="5"/>
        <v>435.6920245398772</v>
      </c>
      <c r="U61" s="270">
        <f t="shared" si="9"/>
        <v>7.2079754601227819</v>
      </c>
      <c r="V61" s="284">
        <f t="shared" si="10"/>
        <v>-30828</v>
      </c>
      <c r="W61" s="337"/>
      <c r="X61" s="233">
        <f t="shared" si="11"/>
        <v>-30828</v>
      </c>
      <c r="Y61" s="250">
        <f t="shared" si="12"/>
        <v>0</v>
      </c>
    </row>
    <row r="62" spans="1:25" x14ac:dyDescent="0.25">
      <c r="A62" s="108">
        <f>Données!A62</f>
        <v>5496</v>
      </c>
      <c r="B62" s="116" t="str">
        <f>Données!B62</f>
        <v>Penthaz</v>
      </c>
      <c r="C62" s="249">
        <f>Données!C62</f>
        <v>1910</v>
      </c>
      <c r="D62" s="262"/>
      <c r="E62" s="246">
        <f>Données!X62</f>
        <v>371</v>
      </c>
      <c r="F62" s="283">
        <f t="shared" si="0"/>
        <v>0.19424083769633507</v>
      </c>
      <c r="G62" s="262">
        <f t="shared" si="1"/>
        <v>1432.7212355212355</v>
      </c>
      <c r="H62" s="270">
        <f t="shared" si="6"/>
        <v>0</v>
      </c>
      <c r="I62" s="284">
        <f t="shared" si="7"/>
        <v>0</v>
      </c>
      <c r="J62" s="262"/>
      <c r="K62" s="271">
        <f>Données!Y62</f>
        <v>0</v>
      </c>
      <c r="L62" s="418">
        <f>Données!Z62</f>
        <v>0.06</v>
      </c>
      <c r="M62" s="262">
        <f t="shared" si="2"/>
        <v>35.284866468842729</v>
      </c>
      <c r="N62" s="284">
        <f t="shared" si="3"/>
        <v>0</v>
      </c>
      <c r="O62" s="262"/>
      <c r="P62" s="246">
        <f>Données!AA62</f>
        <v>278</v>
      </c>
      <c r="Q62" s="281">
        <f>Données!AB62</f>
        <v>149</v>
      </c>
      <c r="R62" s="233">
        <f t="shared" si="8"/>
        <v>300.35000000000002</v>
      </c>
      <c r="S62" s="285">
        <f t="shared" si="4"/>
        <v>0.15725130890052358</v>
      </c>
      <c r="T62" s="270">
        <f t="shared" si="5"/>
        <v>260.13496932515329</v>
      </c>
      <c r="U62" s="270">
        <f t="shared" si="9"/>
        <v>40.21503067484673</v>
      </c>
      <c r="V62" s="284">
        <f t="shared" si="10"/>
        <v>-171998</v>
      </c>
      <c r="W62" s="337"/>
      <c r="X62" s="233">
        <f t="shared" si="11"/>
        <v>-95589.910979228473</v>
      </c>
      <c r="Y62" s="250">
        <f t="shared" si="12"/>
        <v>-76408.089020771527</v>
      </c>
    </row>
    <row r="63" spans="1:25" x14ac:dyDescent="0.25">
      <c r="A63" s="108">
        <f>Données!A63</f>
        <v>5497</v>
      </c>
      <c r="B63" s="116" t="str">
        <f>Données!B63</f>
        <v>Pompaples</v>
      </c>
      <c r="C63" s="249">
        <f>Données!C63</f>
        <v>917</v>
      </c>
      <c r="D63" s="262"/>
      <c r="E63" s="246">
        <f>Données!X63</f>
        <v>440</v>
      </c>
      <c r="F63" s="283">
        <f t="shared" si="0"/>
        <v>0.47982551799345691</v>
      </c>
      <c r="G63" s="262">
        <f t="shared" si="1"/>
        <v>687.85621621621613</v>
      </c>
      <c r="H63" s="270">
        <f t="shared" si="6"/>
        <v>0</v>
      </c>
      <c r="I63" s="284">
        <f t="shared" si="7"/>
        <v>0</v>
      </c>
      <c r="J63" s="262"/>
      <c r="K63" s="271">
        <f>Données!Y63</f>
        <v>0</v>
      </c>
      <c r="L63" s="418">
        <f>Données!Z63</f>
        <v>8.1000000000000003E-2</v>
      </c>
      <c r="M63" s="262">
        <f t="shared" si="2"/>
        <v>47.634569732937685</v>
      </c>
      <c r="N63" s="284">
        <f t="shared" si="3"/>
        <v>0</v>
      </c>
      <c r="O63" s="262"/>
      <c r="P63" s="246">
        <f>Données!AA63</f>
        <v>108</v>
      </c>
      <c r="Q63" s="281">
        <f>Données!AB63</f>
        <v>16</v>
      </c>
      <c r="R63" s="233">
        <f t="shared" si="8"/>
        <v>110.4</v>
      </c>
      <c r="S63" s="285">
        <f t="shared" si="4"/>
        <v>0.12039258451472193</v>
      </c>
      <c r="T63" s="270">
        <f t="shared" si="5"/>
        <v>124.89202453987727</v>
      </c>
      <c r="U63" s="270">
        <f t="shared" si="9"/>
        <v>0</v>
      </c>
      <c r="V63" s="284">
        <f t="shared" si="10"/>
        <v>0</v>
      </c>
      <c r="W63" s="337"/>
      <c r="X63" s="233">
        <f t="shared" si="11"/>
        <v>0</v>
      </c>
      <c r="Y63" s="250">
        <f t="shared" si="12"/>
        <v>0</v>
      </c>
    </row>
    <row r="64" spans="1:25" x14ac:dyDescent="0.25">
      <c r="A64" s="108">
        <f>Données!A64</f>
        <v>5498</v>
      </c>
      <c r="B64" s="116" t="str">
        <f>Données!B64</f>
        <v>La Sarraz</v>
      </c>
      <c r="C64" s="249">
        <f>Données!C64</f>
        <v>2609</v>
      </c>
      <c r="D64" s="262"/>
      <c r="E64" s="246">
        <f>Données!X64</f>
        <v>763</v>
      </c>
      <c r="F64" s="283">
        <f t="shared" si="0"/>
        <v>0.29244921425833653</v>
      </c>
      <c r="G64" s="262">
        <f t="shared" si="1"/>
        <v>1957.0522007722006</v>
      </c>
      <c r="H64" s="270">
        <f t="shared" si="6"/>
        <v>0</v>
      </c>
      <c r="I64" s="284">
        <f t="shared" si="7"/>
        <v>0</v>
      </c>
      <c r="J64" s="262"/>
      <c r="K64" s="271">
        <f>Données!Y64</f>
        <v>0</v>
      </c>
      <c r="L64" s="418">
        <f>Données!Z64</f>
        <v>0.1</v>
      </c>
      <c r="M64" s="262">
        <f t="shared" si="2"/>
        <v>58.808110781404551</v>
      </c>
      <c r="N64" s="284">
        <f t="shared" si="3"/>
        <v>0</v>
      </c>
      <c r="O64" s="262"/>
      <c r="P64" s="246">
        <f>Données!AA64</f>
        <v>328</v>
      </c>
      <c r="Q64" s="281">
        <f>Données!AB64</f>
        <v>44</v>
      </c>
      <c r="R64" s="233">
        <f t="shared" si="8"/>
        <v>334.6</v>
      </c>
      <c r="S64" s="285">
        <f t="shared" si="4"/>
        <v>0.1282483710233806</v>
      </c>
      <c r="T64" s="270">
        <f t="shared" si="5"/>
        <v>355.33619631901831</v>
      </c>
      <c r="U64" s="270">
        <f t="shared" si="9"/>
        <v>0</v>
      </c>
      <c r="V64" s="284">
        <f t="shared" si="10"/>
        <v>0</v>
      </c>
      <c r="W64" s="337"/>
      <c r="X64" s="233">
        <f t="shared" si="11"/>
        <v>0</v>
      </c>
      <c r="Y64" s="250">
        <f t="shared" si="12"/>
        <v>0</v>
      </c>
    </row>
    <row r="65" spans="1:25" x14ac:dyDescent="0.25">
      <c r="A65" s="108">
        <f>Données!A65</f>
        <v>5499</v>
      </c>
      <c r="B65" s="116" t="str">
        <f>Données!B65</f>
        <v>Senarclens</v>
      </c>
      <c r="C65" s="249">
        <f>Données!C65</f>
        <v>505</v>
      </c>
      <c r="D65" s="262"/>
      <c r="E65" s="246">
        <f>Données!X65</f>
        <v>391</v>
      </c>
      <c r="F65" s="283">
        <f t="shared" si="0"/>
        <v>0.77425742574257428</v>
      </c>
      <c r="G65" s="262">
        <f t="shared" si="1"/>
        <v>378.80849420849415</v>
      </c>
      <c r="H65" s="270">
        <f t="shared" si="6"/>
        <v>12.191505791505847</v>
      </c>
      <c r="I65" s="284">
        <f t="shared" si="7"/>
        <v>-1304</v>
      </c>
      <c r="J65" s="262"/>
      <c r="K65" s="271">
        <f>Données!Y65</f>
        <v>0</v>
      </c>
      <c r="L65" s="418">
        <f>Données!Z65</f>
        <v>6.0000000000000001E-3</v>
      </c>
      <c r="M65" s="262">
        <f t="shared" si="2"/>
        <v>3.5284866468842728</v>
      </c>
      <c r="N65" s="284">
        <f t="shared" si="3"/>
        <v>0</v>
      </c>
      <c r="O65" s="262"/>
      <c r="P65" s="246">
        <f>Données!AA65</f>
        <v>71</v>
      </c>
      <c r="Q65" s="281">
        <f>Données!AB65</f>
        <v>40</v>
      </c>
      <c r="R65" s="233">
        <f t="shared" si="8"/>
        <v>77</v>
      </c>
      <c r="S65" s="285">
        <f t="shared" si="4"/>
        <v>0.15247524752475247</v>
      </c>
      <c r="T65" s="270">
        <f t="shared" si="5"/>
        <v>68.779141104294453</v>
      </c>
      <c r="U65" s="270">
        <f t="shared" si="9"/>
        <v>8.2208588957055468</v>
      </c>
      <c r="V65" s="284">
        <f t="shared" si="10"/>
        <v>-35160</v>
      </c>
      <c r="W65" s="337"/>
      <c r="X65" s="233">
        <f t="shared" si="11"/>
        <v>-25661.721068249259</v>
      </c>
      <c r="Y65" s="250">
        <f t="shared" si="12"/>
        <v>-9498.2789317507413</v>
      </c>
    </row>
    <row r="66" spans="1:25" x14ac:dyDescent="0.25">
      <c r="A66" s="108">
        <f>Données!A66</f>
        <v>5501</v>
      </c>
      <c r="B66" s="116" t="str">
        <f>Données!B66</f>
        <v>Sullens</v>
      </c>
      <c r="C66" s="249">
        <f>Données!C66</f>
        <v>1282</v>
      </c>
      <c r="D66" s="262"/>
      <c r="E66" s="246">
        <f>Données!X66</f>
        <v>390</v>
      </c>
      <c r="F66" s="283">
        <f t="shared" si="0"/>
        <v>0.30421216848673949</v>
      </c>
      <c r="G66" s="262">
        <f t="shared" si="1"/>
        <v>961.64849420849407</v>
      </c>
      <c r="H66" s="270">
        <f t="shared" si="6"/>
        <v>0</v>
      </c>
      <c r="I66" s="284">
        <f t="shared" si="7"/>
        <v>0</v>
      </c>
      <c r="J66" s="262"/>
      <c r="K66" s="271">
        <f>Données!Y66</f>
        <v>0</v>
      </c>
      <c r="L66" s="418">
        <f>Données!Z66</f>
        <v>1.4E-2</v>
      </c>
      <c r="M66" s="262">
        <f t="shared" si="2"/>
        <v>8.2331355093966376</v>
      </c>
      <c r="N66" s="284">
        <f t="shared" si="3"/>
        <v>0</v>
      </c>
      <c r="O66" s="262"/>
      <c r="P66" s="246">
        <f>Données!AA66</f>
        <v>166</v>
      </c>
      <c r="Q66" s="281">
        <f>Données!AB66</f>
        <v>83</v>
      </c>
      <c r="R66" s="233">
        <f t="shared" si="8"/>
        <v>178.45</v>
      </c>
      <c r="S66" s="285">
        <f t="shared" si="4"/>
        <v>0.1391965678627145</v>
      </c>
      <c r="T66" s="270">
        <f t="shared" si="5"/>
        <v>174.60368098159503</v>
      </c>
      <c r="U66" s="270">
        <f t="shared" si="9"/>
        <v>3.8463190184049552</v>
      </c>
      <c r="V66" s="284">
        <f t="shared" si="10"/>
        <v>-16451</v>
      </c>
      <c r="W66" s="337"/>
      <c r="X66" s="233">
        <f t="shared" si="11"/>
        <v>-16451</v>
      </c>
      <c r="Y66" s="250">
        <f t="shared" si="12"/>
        <v>0</v>
      </c>
    </row>
    <row r="67" spans="1:25" x14ac:dyDescent="0.25">
      <c r="A67" s="108">
        <f>Données!A67</f>
        <v>5503</v>
      </c>
      <c r="B67" s="116" t="str">
        <f>Données!B67</f>
        <v>Vufflens-la-Ville</v>
      </c>
      <c r="C67" s="249">
        <f>Données!C67</f>
        <v>1327</v>
      </c>
      <c r="D67" s="262"/>
      <c r="E67" s="246">
        <f>Données!X67</f>
        <v>535</v>
      </c>
      <c r="F67" s="283">
        <f t="shared" si="0"/>
        <v>0.40316503391107761</v>
      </c>
      <c r="G67" s="262">
        <f t="shared" si="1"/>
        <v>995.40370656370646</v>
      </c>
      <c r="H67" s="270">
        <f t="shared" si="6"/>
        <v>0</v>
      </c>
      <c r="I67" s="284">
        <f t="shared" si="7"/>
        <v>0</v>
      </c>
      <c r="J67" s="262"/>
      <c r="K67" s="271">
        <f>Données!Y67</f>
        <v>0</v>
      </c>
      <c r="L67" s="418">
        <f>Données!Z67</f>
        <v>6.4000000000000001E-2</v>
      </c>
      <c r="M67" s="262">
        <f t="shared" si="2"/>
        <v>37.637190900098915</v>
      </c>
      <c r="N67" s="284">
        <f t="shared" si="3"/>
        <v>0</v>
      </c>
      <c r="O67" s="262"/>
      <c r="P67" s="246">
        <f>Données!AA67</f>
        <v>159</v>
      </c>
      <c r="Q67" s="281">
        <f>Données!AB67</f>
        <v>78</v>
      </c>
      <c r="R67" s="233">
        <f t="shared" si="8"/>
        <v>170.7</v>
      </c>
      <c r="S67" s="285">
        <f t="shared" si="4"/>
        <v>0.12863602110022607</v>
      </c>
      <c r="T67" s="270">
        <f t="shared" si="5"/>
        <v>180.73251533742325</v>
      </c>
      <c r="U67" s="270">
        <f t="shared" si="9"/>
        <v>0</v>
      </c>
      <c r="V67" s="284">
        <f t="shared" si="10"/>
        <v>0</v>
      </c>
      <c r="W67" s="337"/>
      <c r="X67" s="233">
        <f t="shared" si="11"/>
        <v>0</v>
      </c>
      <c r="Y67" s="250">
        <f t="shared" si="12"/>
        <v>0</v>
      </c>
    </row>
    <row r="68" spans="1:25" x14ac:dyDescent="0.25">
      <c r="A68" s="108">
        <f>Données!A68</f>
        <v>5511</v>
      </c>
      <c r="B68" s="116" t="str">
        <f>Données!B68</f>
        <v>Assens</v>
      </c>
      <c r="C68" s="249">
        <f>Données!C68</f>
        <v>1747</v>
      </c>
      <c r="D68" s="262"/>
      <c r="E68" s="246">
        <f>Données!X68</f>
        <v>834</v>
      </c>
      <c r="F68" s="283">
        <f t="shared" si="0"/>
        <v>0.47738981110475098</v>
      </c>
      <c r="G68" s="262">
        <f t="shared" si="1"/>
        <v>1310.4523552123551</v>
      </c>
      <c r="H68" s="270">
        <f t="shared" si="6"/>
        <v>0</v>
      </c>
      <c r="I68" s="284">
        <f t="shared" si="7"/>
        <v>0</v>
      </c>
      <c r="J68" s="262"/>
      <c r="K68" s="271">
        <f>Données!Y68</f>
        <v>0</v>
      </c>
      <c r="L68" s="418">
        <f>Données!Z68</f>
        <v>0.02</v>
      </c>
      <c r="M68" s="262">
        <f t="shared" si="2"/>
        <v>11.761622156280909</v>
      </c>
      <c r="N68" s="284">
        <f t="shared" si="3"/>
        <v>0</v>
      </c>
      <c r="O68" s="262"/>
      <c r="P68" s="246">
        <f>Données!AA68</f>
        <v>215</v>
      </c>
      <c r="Q68" s="281">
        <f>Données!AB68</f>
        <v>120</v>
      </c>
      <c r="R68" s="233">
        <f t="shared" si="8"/>
        <v>233</v>
      </c>
      <c r="S68" s="285">
        <f t="shared" si="4"/>
        <v>0.13337149398969661</v>
      </c>
      <c r="T68" s="270">
        <f t="shared" si="5"/>
        <v>237.9349693251533</v>
      </c>
      <c r="U68" s="270">
        <f t="shared" si="9"/>
        <v>0</v>
      </c>
      <c r="V68" s="284">
        <f t="shared" si="10"/>
        <v>0</v>
      </c>
      <c r="W68" s="337"/>
      <c r="X68" s="233">
        <f t="shared" si="11"/>
        <v>0</v>
      </c>
      <c r="Y68" s="250">
        <f t="shared" si="12"/>
        <v>0</v>
      </c>
    </row>
    <row r="69" spans="1:25" x14ac:dyDescent="0.25">
      <c r="A69" s="108">
        <f>Données!A69</f>
        <v>5512</v>
      </c>
      <c r="B69" s="116" t="str">
        <f>Données!B69</f>
        <v>Bercher</v>
      </c>
      <c r="C69" s="249">
        <f>Données!C69</f>
        <v>1359</v>
      </c>
      <c r="D69" s="262"/>
      <c r="E69" s="246">
        <f>Données!X69</f>
        <v>422</v>
      </c>
      <c r="F69" s="283">
        <f t="shared" si="0"/>
        <v>0.31052244297277409</v>
      </c>
      <c r="G69" s="262">
        <f t="shared" si="1"/>
        <v>1019.4074131274131</v>
      </c>
      <c r="H69" s="270">
        <f t="shared" si="6"/>
        <v>0</v>
      </c>
      <c r="I69" s="284">
        <f t="shared" si="7"/>
        <v>0</v>
      </c>
      <c r="J69" s="262"/>
      <c r="K69" s="271">
        <f>Données!Y69</f>
        <v>0</v>
      </c>
      <c r="L69" s="418">
        <f>Données!Z69</f>
        <v>0.121</v>
      </c>
      <c r="M69" s="262">
        <f t="shared" si="2"/>
        <v>71.157814045499507</v>
      </c>
      <c r="N69" s="284">
        <f t="shared" si="3"/>
        <v>0</v>
      </c>
      <c r="O69" s="262"/>
      <c r="P69" s="246">
        <f>Données!AA69</f>
        <v>184</v>
      </c>
      <c r="Q69" s="281">
        <f>Données!AB69</f>
        <v>8</v>
      </c>
      <c r="R69" s="233">
        <f t="shared" si="8"/>
        <v>185.2</v>
      </c>
      <c r="S69" s="285">
        <f t="shared" si="4"/>
        <v>0.13627667402501839</v>
      </c>
      <c r="T69" s="270">
        <f t="shared" si="5"/>
        <v>185.09079754601223</v>
      </c>
      <c r="U69" s="270">
        <f t="shared" si="9"/>
        <v>0.10920245398776274</v>
      </c>
      <c r="V69" s="284">
        <f t="shared" si="10"/>
        <v>-467</v>
      </c>
      <c r="W69" s="337"/>
      <c r="X69" s="233">
        <f t="shared" si="11"/>
        <v>-467</v>
      </c>
      <c r="Y69" s="250">
        <f t="shared" si="12"/>
        <v>0</v>
      </c>
    </row>
    <row r="70" spans="1:25" x14ac:dyDescent="0.25">
      <c r="A70" s="108">
        <f>Données!A70</f>
        <v>5514</v>
      </c>
      <c r="B70" s="116" t="str">
        <f>Données!B70</f>
        <v>Bottens</v>
      </c>
      <c r="C70" s="249">
        <f>Données!C70</f>
        <v>1389</v>
      </c>
      <c r="D70" s="262"/>
      <c r="E70" s="246">
        <f>Données!X70</f>
        <v>691</v>
      </c>
      <c r="F70" s="283">
        <f t="shared" ref="F70:F133" si="13">E70/C70</f>
        <v>0.49748020158387329</v>
      </c>
      <c r="G70" s="262">
        <f t="shared" ref="G70:G133" si="14">C70*$I$4</f>
        <v>1041.9108880308879</v>
      </c>
      <c r="H70" s="270">
        <f t="shared" si="6"/>
        <v>0</v>
      </c>
      <c r="I70" s="284">
        <f t="shared" si="7"/>
        <v>0</v>
      </c>
      <c r="J70" s="262"/>
      <c r="K70" s="271">
        <f>Données!Y70</f>
        <v>1010</v>
      </c>
      <c r="L70" s="418">
        <f>Données!Z70</f>
        <v>6.3E-2</v>
      </c>
      <c r="M70" s="262">
        <f t="shared" ref="M70:M133" si="15">L70*$N$5</f>
        <v>37.049109792284867</v>
      </c>
      <c r="N70" s="284">
        <f t="shared" ref="N70:N133" si="16">ROUND(-M70*K70,0)</f>
        <v>-37420</v>
      </c>
      <c r="O70" s="262"/>
      <c r="P70" s="246">
        <f>Données!AA70</f>
        <v>194</v>
      </c>
      <c r="Q70" s="281">
        <f>Données!AB70</f>
        <v>103</v>
      </c>
      <c r="R70" s="233">
        <f t="shared" ref="R70:R133" si="17">P70*$P$6+Q70*$Q$6</f>
        <v>209.45</v>
      </c>
      <c r="S70" s="285">
        <f t="shared" ref="S70:S133" si="18">R70/C70</f>
        <v>0.15079193664506838</v>
      </c>
      <c r="T70" s="270">
        <f t="shared" ref="T70:T133" si="19">$V$4*C70</f>
        <v>189.17668711656435</v>
      </c>
      <c r="U70" s="270">
        <f t="shared" si="9"/>
        <v>20.273312883435636</v>
      </c>
      <c r="V70" s="284">
        <f t="shared" si="10"/>
        <v>-86708</v>
      </c>
      <c r="W70" s="337"/>
      <c r="X70" s="233">
        <f t="shared" si="11"/>
        <v>-66078.931750741831</v>
      </c>
      <c r="Y70" s="250">
        <f t="shared" si="12"/>
        <v>-20629.068249258169</v>
      </c>
    </row>
    <row r="71" spans="1:25" x14ac:dyDescent="0.25">
      <c r="A71" s="108">
        <f>Données!A71</f>
        <v>5515</v>
      </c>
      <c r="B71" s="116" t="str">
        <f>Données!B71</f>
        <v>Bretigny-sur-Morrens</v>
      </c>
      <c r="C71" s="249">
        <f>Données!C71</f>
        <v>893</v>
      </c>
      <c r="D71" s="262"/>
      <c r="E71" s="246">
        <f>Données!X71</f>
        <v>283</v>
      </c>
      <c r="F71" s="283">
        <f t="shared" si="13"/>
        <v>0.31690929451287791</v>
      </c>
      <c r="G71" s="262">
        <f t="shared" si="14"/>
        <v>669.85343629343629</v>
      </c>
      <c r="H71" s="270">
        <f t="shared" ref="H71:H134" si="20">IF(E71&gt;G71,E71-G71,0)</f>
        <v>0</v>
      </c>
      <c r="I71" s="284">
        <f t="shared" ref="I71:I134" si="21">ROUND(-H71*$I$5,0)</f>
        <v>0</v>
      </c>
      <c r="J71" s="262"/>
      <c r="K71" s="271">
        <f>Données!Y71</f>
        <v>2</v>
      </c>
      <c r="L71" s="418">
        <f>Données!Z71</f>
        <v>9.0999999999999998E-2</v>
      </c>
      <c r="M71" s="262">
        <f t="shared" si="15"/>
        <v>53.515380811078138</v>
      </c>
      <c r="N71" s="284">
        <f t="shared" si="16"/>
        <v>-107</v>
      </c>
      <c r="O71" s="262"/>
      <c r="P71" s="246">
        <f>Données!AA71</f>
        <v>116</v>
      </c>
      <c r="Q71" s="281">
        <f>Données!AB71</f>
        <v>25</v>
      </c>
      <c r="R71" s="233">
        <f t="shared" si="17"/>
        <v>119.75</v>
      </c>
      <c r="S71" s="285">
        <f t="shared" si="18"/>
        <v>0.13409854423292272</v>
      </c>
      <c r="T71" s="270">
        <f t="shared" si="19"/>
        <v>121.62331288343555</v>
      </c>
      <c r="U71" s="270">
        <f t="shared" ref="U71:U134" si="22">IF(R71&gt;T71,R71-T71,0)</f>
        <v>0</v>
      </c>
      <c r="V71" s="284">
        <f t="shared" ref="V71:V134" si="23">ROUND(-$V$5*U71,0)</f>
        <v>0</v>
      </c>
      <c r="W71" s="337"/>
      <c r="X71" s="233">
        <f t="shared" ref="X71:X134" si="24">IF(-Q71*$Q$6*$V$5&gt;V71,-Q71*$Q$6*$V$5,V71)</f>
        <v>0</v>
      </c>
      <c r="Y71" s="250">
        <f t="shared" ref="Y71:Y134" si="25">IF(X71&gt;V71,V71-X71,0)</f>
        <v>0</v>
      </c>
    </row>
    <row r="72" spans="1:25" x14ac:dyDescent="0.25">
      <c r="A72" s="108">
        <f>Données!A72</f>
        <v>5516</v>
      </c>
      <c r="B72" s="116" t="str">
        <f>Données!B72</f>
        <v>Cugy</v>
      </c>
      <c r="C72" s="249">
        <f>Données!C72</f>
        <v>2824</v>
      </c>
      <c r="D72" s="262"/>
      <c r="E72" s="246">
        <f>Données!X72</f>
        <v>291</v>
      </c>
      <c r="F72" s="283">
        <f t="shared" si="13"/>
        <v>0.10304532577903683</v>
      </c>
      <c r="G72" s="262">
        <f t="shared" si="14"/>
        <v>2118.3271042471042</v>
      </c>
      <c r="H72" s="270">
        <f t="shared" si="20"/>
        <v>0</v>
      </c>
      <c r="I72" s="284">
        <f t="shared" si="21"/>
        <v>0</v>
      </c>
      <c r="J72" s="262"/>
      <c r="K72" s="271">
        <f>Données!Y72</f>
        <v>28</v>
      </c>
      <c r="L72" s="418">
        <f>Données!Z72</f>
        <v>7.1999999999999995E-2</v>
      </c>
      <c r="M72" s="262">
        <f t="shared" si="15"/>
        <v>42.341839762611272</v>
      </c>
      <c r="N72" s="284">
        <f t="shared" si="16"/>
        <v>-1186</v>
      </c>
      <c r="O72" s="262"/>
      <c r="P72" s="246">
        <f>Données!AA72</f>
        <v>350</v>
      </c>
      <c r="Q72" s="281">
        <f>Données!AB72</f>
        <v>42</v>
      </c>
      <c r="R72" s="233">
        <f t="shared" si="17"/>
        <v>356.3</v>
      </c>
      <c r="S72" s="285">
        <f t="shared" si="18"/>
        <v>0.12616855524079321</v>
      </c>
      <c r="T72" s="270">
        <f t="shared" si="19"/>
        <v>384.61840490797533</v>
      </c>
      <c r="U72" s="270">
        <f t="shared" si="22"/>
        <v>0</v>
      </c>
      <c r="V72" s="284">
        <f t="shared" si="23"/>
        <v>0</v>
      </c>
      <c r="W72" s="337"/>
      <c r="X72" s="233">
        <f t="shared" si="24"/>
        <v>0</v>
      </c>
      <c r="Y72" s="250">
        <f t="shared" si="25"/>
        <v>0</v>
      </c>
    </row>
    <row r="73" spans="1:25" x14ac:dyDescent="0.25">
      <c r="A73" s="108">
        <f>Données!A73</f>
        <v>5518</v>
      </c>
      <c r="B73" s="116" t="str">
        <f>Données!B73</f>
        <v>Echallens</v>
      </c>
      <c r="C73" s="249">
        <f>Données!C73</f>
        <v>6816</v>
      </c>
      <c r="D73" s="262"/>
      <c r="E73" s="246">
        <f>Données!X73</f>
        <v>658</v>
      </c>
      <c r="F73" s="283">
        <f t="shared" si="13"/>
        <v>9.6537558685446015E-2</v>
      </c>
      <c r="G73" s="262">
        <f t="shared" si="14"/>
        <v>5112.7894980694973</v>
      </c>
      <c r="H73" s="270">
        <f t="shared" si="20"/>
        <v>0</v>
      </c>
      <c r="I73" s="284">
        <f t="shared" si="21"/>
        <v>0</v>
      </c>
      <c r="J73" s="262"/>
      <c r="K73" s="271">
        <f>Données!Y73</f>
        <v>0</v>
      </c>
      <c r="L73" s="418">
        <f>Données!Z73</f>
        <v>3.2000000000000001E-2</v>
      </c>
      <c r="M73" s="262">
        <f t="shared" si="15"/>
        <v>18.818595450049457</v>
      </c>
      <c r="N73" s="284">
        <f t="shared" si="16"/>
        <v>0</v>
      </c>
      <c r="O73" s="262"/>
      <c r="P73" s="246">
        <f>Données!AA73</f>
        <v>840</v>
      </c>
      <c r="Q73" s="281">
        <f>Données!AB73</f>
        <v>18</v>
      </c>
      <c r="R73" s="233">
        <f t="shared" si="17"/>
        <v>842.7</v>
      </c>
      <c r="S73" s="285">
        <f t="shared" si="18"/>
        <v>0.1236355633802817</v>
      </c>
      <c r="T73" s="270">
        <f t="shared" si="19"/>
        <v>928.31411042944762</v>
      </c>
      <c r="U73" s="270">
        <f t="shared" si="22"/>
        <v>0</v>
      </c>
      <c r="V73" s="284">
        <f t="shared" si="23"/>
        <v>0</v>
      </c>
      <c r="W73" s="337"/>
      <c r="X73" s="233">
        <f t="shared" si="24"/>
        <v>0</v>
      </c>
      <c r="Y73" s="250">
        <f t="shared" si="25"/>
        <v>0</v>
      </c>
    </row>
    <row r="74" spans="1:25" x14ac:dyDescent="0.25">
      <c r="A74" s="108">
        <f>Données!A74</f>
        <v>5520</v>
      </c>
      <c r="B74" s="116" t="str">
        <f>Données!B74</f>
        <v>Essertines-sur-Yverdon</v>
      </c>
      <c r="C74" s="249">
        <f>Données!C74</f>
        <v>1183</v>
      </c>
      <c r="D74" s="262"/>
      <c r="E74" s="246">
        <f>Données!X74</f>
        <v>971</v>
      </c>
      <c r="F74" s="283">
        <f t="shared" si="13"/>
        <v>0.82079459002535926</v>
      </c>
      <c r="G74" s="262">
        <f t="shared" si="14"/>
        <v>887.38702702702699</v>
      </c>
      <c r="H74" s="270">
        <f t="shared" si="20"/>
        <v>83.612972972973012</v>
      </c>
      <c r="I74" s="284">
        <f t="shared" si="21"/>
        <v>-8940</v>
      </c>
      <c r="J74" s="262"/>
      <c r="K74" s="271">
        <f>Données!Y74</f>
        <v>0</v>
      </c>
      <c r="L74" s="418">
        <f>Données!Z74</f>
        <v>5.7000000000000002E-2</v>
      </c>
      <c r="M74" s="262">
        <f t="shared" si="15"/>
        <v>33.520623145400592</v>
      </c>
      <c r="N74" s="284">
        <f t="shared" si="16"/>
        <v>0</v>
      </c>
      <c r="O74" s="262"/>
      <c r="P74" s="246">
        <f>Données!AA74</f>
        <v>180</v>
      </c>
      <c r="Q74" s="281">
        <f>Données!AB74</f>
        <v>110</v>
      </c>
      <c r="R74" s="233">
        <f t="shared" si="17"/>
        <v>196.5</v>
      </c>
      <c r="S74" s="285">
        <f t="shared" si="18"/>
        <v>0.16610312764158919</v>
      </c>
      <c r="T74" s="270">
        <f t="shared" si="19"/>
        <v>161.12024539877297</v>
      </c>
      <c r="U74" s="270">
        <f t="shared" si="22"/>
        <v>35.379754601227035</v>
      </c>
      <c r="V74" s="284">
        <f t="shared" si="23"/>
        <v>-151318</v>
      </c>
      <c r="W74" s="337"/>
      <c r="X74" s="233">
        <f t="shared" si="24"/>
        <v>-70569.732937685461</v>
      </c>
      <c r="Y74" s="250">
        <f t="shared" si="25"/>
        <v>-80748.267062314539</v>
      </c>
    </row>
    <row r="75" spans="1:25" x14ac:dyDescent="0.25">
      <c r="A75" s="108">
        <f>Données!A75</f>
        <v>5521</v>
      </c>
      <c r="B75" s="116" t="str">
        <f>Données!B75</f>
        <v>Etagnières</v>
      </c>
      <c r="C75" s="249">
        <f>Données!C75</f>
        <v>1168</v>
      </c>
      <c r="D75" s="262"/>
      <c r="E75" s="246">
        <f>Données!X75</f>
        <v>376</v>
      </c>
      <c r="F75" s="283">
        <f t="shared" si="13"/>
        <v>0.32191780821917809</v>
      </c>
      <c r="G75" s="262">
        <f t="shared" si="14"/>
        <v>876.13528957528945</v>
      </c>
      <c r="H75" s="270">
        <f t="shared" si="20"/>
        <v>0</v>
      </c>
      <c r="I75" s="284">
        <f t="shared" si="21"/>
        <v>0</v>
      </c>
      <c r="J75" s="262"/>
      <c r="K75" s="271">
        <f>Données!Y75</f>
        <v>0</v>
      </c>
      <c r="L75" s="418">
        <f>Données!Z75</f>
        <v>1.2999999999999999E-2</v>
      </c>
      <c r="M75" s="262">
        <f t="shared" si="15"/>
        <v>7.6450544015825912</v>
      </c>
      <c r="N75" s="284">
        <f t="shared" si="16"/>
        <v>0</v>
      </c>
      <c r="O75" s="262"/>
      <c r="P75" s="246">
        <f>Données!AA75</f>
        <v>130</v>
      </c>
      <c r="Q75" s="281">
        <f>Données!AB75</f>
        <v>44</v>
      </c>
      <c r="R75" s="233">
        <f t="shared" si="17"/>
        <v>136.6</v>
      </c>
      <c r="S75" s="285">
        <f t="shared" si="18"/>
        <v>0.11695205479452055</v>
      </c>
      <c r="T75" s="270">
        <f t="shared" si="19"/>
        <v>159.0773006134969</v>
      </c>
      <c r="U75" s="270">
        <f t="shared" si="22"/>
        <v>0</v>
      </c>
      <c r="V75" s="284">
        <f t="shared" si="23"/>
        <v>0</v>
      </c>
      <c r="W75" s="337"/>
      <c r="X75" s="233">
        <f t="shared" si="24"/>
        <v>0</v>
      </c>
      <c r="Y75" s="250">
        <f t="shared" si="25"/>
        <v>0</v>
      </c>
    </row>
    <row r="76" spans="1:25" x14ac:dyDescent="0.25">
      <c r="A76" s="108">
        <f>Données!A76</f>
        <v>5522</v>
      </c>
      <c r="B76" s="116" t="str">
        <f>Données!B76</f>
        <v>Fey</v>
      </c>
      <c r="C76" s="249">
        <f>Données!C76</f>
        <v>791</v>
      </c>
      <c r="D76" s="262"/>
      <c r="E76" s="246">
        <f>Données!X76</f>
        <v>741</v>
      </c>
      <c r="F76" s="283">
        <f t="shared" si="13"/>
        <v>0.93678887484197215</v>
      </c>
      <c r="G76" s="262">
        <f t="shared" si="14"/>
        <v>593.34162162162158</v>
      </c>
      <c r="H76" s="270">
        <f t="shared" si="20"/>
        <v>147.65837837837842</v>
      </c>
      <c r="I76" s="284">
        <f t="shared" si="21"/>
        <v>-15788</v>
      </c>
      <c r="J76" s="262"/>
      <c r="K76" s="271">
        <f>Données!Y76</f>
        <v>0</v>
      </c>
      <c r="L76" s="418">
        <f>Données!Z76</f>
        <v>7.0999999999999994E-2</v>
      </c>
      <c r="M76" s="262">
        <f t="shared" si="15"/>
        <v>41.753758654797224</v>
      </c>
      <c r="N76" s="284">
        <f t="shared" si="16"/>
        <v>0</v>
      </c>
      <c r="O76" s="262"/>
      <c r="P76" s="246">
        <f>Données!AA76</f>
        <v>111</v>
      </c>
      <c r="Q76" s="281">
        <f>Données!AB76</f>
        <v>107</v>
      </c>
      <c r="R76" s="233">
        <f t="shared" si="17"/>
        <v>127.05</v>
      </c>
      <c r="S76" s="285">
        <f t="shared" si="18"/>
        <v>0.16061946902654867</v>
      </c>
      <c r="T76" s="270">
        <f t="shared" si="19"/>
        <v>107.73128834355825</v>
      </c>
      <c r="U76" s="270">
        <f t="shared" si="22"/>
        <v>19.318711656441749</v>
      </c>
      <c r="V76" s="284">
        <f t="shared" si="23"/>
        <v>-82625</v>
      </c>
      <c r="W76" s="337"/>
      <c r="X76" s="233">
        <f t="shared" si="24"/>
        <v>-68645.103857566763</v>
      </c>
      <c r="Y76" s="250">
        <f t="shared" si="25"/>
        <v>-13979.896142433237</v>
      </c>
    </row>
    <row r="77" spans="1:25" x14ac:dyDescent="0.25">
      <c r="A77" s="108">
        <f>Données!A77</f>
        <v>5523</v>
      </c>
      <c r="B77" s="116" t="str">
        <f>Données!B77</f>
        <v>Froideville</v>
      </c>
      <c r="C77" s="249">
        <f>Données!C77</f>
        <v>2713</v>
      </c>
      <c r="D77" s="262"/>
      <c r="E77" s="246">
        <f>Données!X77</f>
        <v>703</v>
      </c>
      <c r="F77" s="283">
        <f t="shared" si="13"/>
        <v>0.25912274235164023</v>
      </c>
      <c r="G77" s="262">
        <f t="shared" si="14"/>
        <v>2035.064247104247</v>
      </c>
      <c r="H77" s="270">
        <f t="shared" si="20"/>
        <v>0</v>
      </c>
      <c r="I77" s="284">
        <f t="shared" si="21"/>
        <v>0</v>
      </c>
      <c r="J77" s="262"/>
      <c r="K77" s="271">
        <f>Données!Y77</f>
        <v>2713</v>
      </c>
      <c r="L77" s="418">
        <f>Données!Z77</f>
        <v>3.3000000000000002E-2</v>
      </c>
      <c r="M77" s="262">
        <f t="shared" si="15"/>
        <v>19.406676557863502</v>
      </c>
      <c r="N77" s="284">
        <f t="shared" si="16"/>
        <v>-52650</v>
      </c>
      <c r="O77" s="262"/>
      <c r="P77" s="246">
        <f>Données!AA77</f>
        <v>382</v>
      </c>
      <c r="Q77" s="281">
        <f>Données!AB77</f>
        <v>129</v>
      </c>
      <c r="R77" s="233">
        <f t="shared" si="17"/>
        <v>401.35</v>
      </c>
      <c r="S77" s="285">
        <f t="shared" si="18"/>
        <v>0.14793586435680059</v>
      </c>
      <c r="T77" s="270">
        <f t="shared" si="19"/>
        <v>369.50061349693243</v>
      </c>
      <c r="U77" s="270">
        <f t="shared" si="22"/>
        <v>31.849386503067592</v>
      </c>
      <c r="V77" s="284">
        <f t="shared" si="23"/>
        <v>-136218</v>
      </c>
      <c r="W77" s="337"/>
      <c r="X77" s="233">
        <f t="shared" si="24"/>
        <v>-82759.050445103843</v>
      </c>
      <c r="Y77" s="250">
        <f t="shared" si="25"/>
        <v>-53458.949554896157</v>
      </c>
    </row>
    <row r="78" spans="1:25" x14ac:dyDescent="0.25">
      <c r="A78" s="108">
        <f>Données!A78</f>
        <v>5527</v>
      </c>
      <c r="B78" s="116" t="str">
        <f>Données!B78</f>
        <v>Morrens</v>
      </c>
      <c r="C78" s="249">
        <f>Données!C78</f>
        <v>1145</v>
      </c>
      <c r="D78" s="262"/>
      <c r="E78" s="246">
        <f>Données!X78</f>
        <v>368</v>
      </c>
      <c r="F78" s="283">
        <f t="shared" si="13"/>
        <v>0.32139737991266376</v>
      </c>
      <c r="G78" s="262">
        <f t="shared" si="14"/>
        <v>858.88262548262537</v>
      </c>
      <c r="H78" s="270">
        <f t="shared" si="20"/>
        <v>0</v>
      </c>
      <c r="I78" s="284">
        <f t="shared" si="21"/>
        <v>0</v>
      </c>
      <c r="J78" s="262"/>
      <c r="K78" s="271">
        <f>Données!Y78</f>
        <v>0</v>
      </c>
      <c r="L78" s="418">
        <f>Données!Z78</f>
        <v>5.1999999999999998E-2</v>
      </c>
      <c r="M78" s="262">
        <f t="shared" si="15"/>
        <v>30.580217606330365</v>
      </c>
      <c r="N78" s="284">
        <f t="shared" si="16"/>
        <v>0</v>
      </c>
      <c r="O78" s="262"/>
      <c r="P78" s="246">
        <f>Données!AA78</f>
        <v>162</v>
      </c>
      <c r="Q78" s="281">
        <f>Données!AB78</f>
        <v>11</v>
      </c>
      <c r="R78" s="233">
        <f t="shared" si="17"/>
        <v>163.65</v>
      </c>
      <c r="S78" s="285">
        <f t="shared" si="18"/>
        <v>0.14292576419213973</v>
      </c>
      <c r="T78" s="270">
        <f t="shared" si="19"/>
        <v>155.94478527607359</v>
      </c>
      <c r="U78" s="270">
        <f t="shared" si="22"/>
        <v>7.7052147239264173</v>
      </c>
      <c r="V78" s="284">
        <f t="shared" si="23"/>
        <v>-32955</v>
      </c>
      <c r="W78" s="337"/>
      <c r="X78" s="233">
        <f t="shared" si="24"/>
        <v>-7056.9732937685449</v>
      </c>
      <c r="Y78" s="250">
        <f t="shared" si="25"/>
        <v>-25898.026706231456</v>
      </c>
    </row>
    <row r="79" spans="1:25" x14ac:dyDescent="0.25">
      <c r="A79" s="108">
        <f>Données!A79</f>
        <v>5529</v>
      </c>
      <c r="B79" s="116" t="str">
        <f>Données!B79</f>
        <v>Oulens-sous-Echallens</v>
      </c>
      <c r="C79" s="249">
        <f>Données!C79</f>
        <v>609</v>
      </c>
      <c r="D79" s="262"/>
      <c r="E79" s="246">
        <f>Données!X79</f>
        <v>588</v>
      </c>
      <c r="F79" s="283">
        <f t="shared" si="13"/>
        <v>0.96551724137931039</v>
      </c>
      <c r="G79" s="262">
        <f t="shared" si="14"/>
        <v>456.82054054054049</v>
      </c>
      <c r="H79" s="270">
        <f t="shared" si="20"/>
        <v>131.17945945945951</v>
      </c>
      <c r="I79" s="284">
        <f t="shared" si="21"/>
        <v>-14026</v>
      </c>
      <c r="J79" s="262"/>
      <c r="K79" s="271">
        <f>Données!Y79</f>
        <v>0</v>
      </c>
      <c r="L79" s="418">
        <f>Données!Z79</f>
        <v>3.4000000000000002E-2</v>
      </c>
      <c r="M79" s="262">
        <f t="shared" si="15"/>
        <v>19.994757665677547</v>
      </c>
      <c r="N79" s="284">
        <f t="shared" si="16"/>
        <v>0</v>
      </c>
      <c r="O79" s="262"/>
      <c r="P79" s="246">
        <f>Données!AA79</f>
        <v>77</v>
      </c>
      <c r="Q79" s="281">
        <f>Données!AB79</f>
        <v>55</v>
      </c>
      <c r="R79" s="233">
        <f t="shared" si="17"/>
        <v>85.25</v>
      </c>
      <c r="S79" s="285">
        <f t="shared" si="18"/>
        <v>0.13998357963875205</v>
      </c>
      <c r="T79" s="270">
        <f t="shared" si="19"/>
        <v>82.943558282208571</v>
      </c>
      <c r="U79" s="270">
        <f t="shared" si="22"/>
        <v>2.3064417177914294</v>
      </c>
      <c r="V79" s="284">
        <f t="shared" si="23"/>
        <v>-9865</v>
      </c>
      <c r="W79" s="337"/>
      <c r="X79" s="233">
        <f t="shared" si="24"/>
        <v>-9865</v>
      </c>
      <c r="Y79" s="250">
        <f t="shared" si="25"/>
        <v>0</v>
      </c>
    </row>
    <row r="80" spans="1:25" x14ac:dyDescent="0.25">
      <c r="A80" s="108">
        <f>Données!A80</f>
        <v>5530</v>
      </c>
      <c r="B80" s="116" t="str">
        <f>Données!B80</f>
        <v>Pailly</v>
      </c>
      <c r="C80" s="249">
        <f>Données!C80</f>
        <v>575</v>
      </c>
      <c r="D80" s="262"/>
      <c r="E80" s="246">
        <f>Données!X80</f>
        <v>570</v>
      </c>
      <c r="F80" s="283">
        <f t="shared" si="13"/>
        <v>0.99130434782608701</v>
      </c>
      <c r="G80" s="262">
        <f t="shared" si="14"/>
        <v>431.31660231660226</v>
      </c>
      <c r="H80" s="270">
        <f t="shared" si="20"/>
        <v>138.68339768339774</v>
      </c>
      <c r="I80" s="284">
        <f t="shared" si="21"/>
        <v>-14829</v>
      </c>
      <c r="J80" s="262"/>
      <c r="K80" s="271">
        <f>Données!Y80</f>
        <v>0</v>
      </c>
      <c r="L80" s="418">
        <f>Données!Z80</f>
        <v>0.04</v>
      </c>
      <c r="M80" s="262">
        <f t="shared" si="15"/>
        <v>23.523244312561818</v>
      </c>
      <c r="N80" s="284">
        <f t="shared" si="16"/>
        <v>0</v>
      </c>
      <c r="O80" s="262"/>
      <c r="P80" s="246">
        <f>Données!AA80</f>
        <v>94</v>
      </c>
      <c r="Q80" s="281">
        <f>Données!AB80</f>
        <v>42</v>
      </c>
      <c r="R80" s="233">
        <f t="shared" si="17"/>
        <v>100.3</v>
      </c>
      <c r="S80" s="285">
        <f t="shared" si="18"/>
        <v>0.17443478260869566</v>
      </c>
      <c r="T80" s="270">
        <f t="shared" si="19"/>
        <v>78.312883435582805</v>
      </c>
      <c r="U80" s="270">
        <f t="shared" si="22"/>
        <v>21.987116564417192</v>
      </c>
      <c r="V80" s="284">
        <f t="shared" si="23"/>
        <v>-94038</v>
      </c>
      <c r="W80" s="337"/>
      <c r="X80" s="233">
        <f t="shared" si="24"/>
        <v>-26944.807121661717</v>
      </c>
      <c r="Y80" s="250">
        <f t="shared" si="25"/>
        <v>-67093.192878338275</v>
      </c>
    </row>
    <row r="81" spans="1:25" x14ac:dyDescent="0.25">
      <c r="A81" s="108">
        <f>Données!A81</f>
        <v>5531</v>
      </c>
      <c r="B81" s="116" t="str">
        <f>Données!B81</f>
        <v>Penthéréaz</v>
      </c>
      <c r="C81" s="249">
        <f>Données!C81</f>
        <v>446</v>
      </c>
      <c r="D81" s="262"/>
      <c r="E81" s="246">
        <f>Données!X81</f>
        <v>570</v>
      </c>
      <c r="F81" s="283">
        <f t="shared" si="13"/>
        <v>1.2780269058295963</v>
      </c>
      <c r="G81" s="262">
        <f t="shared" si="14"/>
        <v>334.55166023166021</v>
      </c>
      <c r="H81" s="270">
        <f t="shared" si="20"/>
        <v>235.44833976833979</v>
      </c>
      <c r="I81" s="284">
        <f t="shared" si="21"/>
        <v>-25175</v>
      </c>
      <c r="J81" s="262"/>
      <c r="K81" s="271">
        <f>Données!Y81</f>
        <v>0</v>
      </c>
      <c r="L81" s="418">
        <f>Données!Z81</f>
        <v>0.03</v>
      </c>
      <c r="M81" s="262">
        <f t="shared" si="15"/>
        <v>17.642433234421365</v>
      </c>
      <c r="N81" s="284">
        <f t="shared" si="16"/>
        <v>0</v>
      </c>
      <c r="O81" s="262"/>
      <c r="P81" s="246">
        <f>Données!AA81</f>
        <v>58</v>
      </c>
      <c r="Q81" s="281">
        <f>Données!AB81</f>
        <v>58</v>
      </c>
      <c r="R81" s="233">
        <f t="shared" si="17"/>
        <v>66.7</v>
      </c>
      <c r="S81" s="285">
        <f t="shared" si="18"/>
        <v>0.14955156950672646</v>
      </c>
      <c r="T81" s="270">
        <f t="shared" si="19"/>
        <v>60.743558282208575</v>
      </c>
      <c r="U81" s="270">
        <f t="shared" si="22"/>
        <v>5.9564417177914279</v>
      </c>
      <c r="V81" s="284">
        <f t="shared" si="23"/>
        <v>-25475</v>
      </c>
      <c r="W81" s="337"/>
      <c r="X81" s="233">
        <f t="shared" si="24"/>
        <v>-25475</v>
      </c>
      <c r="Y81" s="250">
        <f t="shared" si="25"/>
        <v>0</v>
      </c>
    </row>
    <row r="82" spans="1:25" x14ac:dyDescent="0.25">
      <c r="A82" s="108">
        <f>Données!A82</f>
        <v>5533</v>
      </c>
      <c r="B82" s="116" t="str">
        <f>Données!B82</f>
        <v>Poliez-Pittet</v>
      </c>
      <c r="C82" s="249">
        <f>Données!C82</f>
        <v>847</v>
      </c>
      <c r="D82" s="262"/>
      <c r="E82" s="246">
        <f>Données!X82</f>
        <v>498</v>
      </c>
      <c r="F82" s="283">
        <f t="shared" si="13"/>
        <v>0.58795749704840616</v>
      </c>
      <c r="G82" s="262">
        <f t="shared" si="14"/>
        <v>635.34810810810802</v>
      </c>
      <c r="H82" s="270">
        <f t="shared" si="20"/>
        <v>0</v>
      </c>
      <c r="I82" s="284">
        <f t="shared" si="21"/>
        <v>0</v>
      </c>
      <c r="J82" s="262"/>
      <c r="K82" s="271">
        <f>Données!Y82</f>
        <v>711</v>
      </c>
      <c r="L82" s="418">
        <f>Données!Z82</f>
        <v>5.3999999999999999E-2</v>
      </c>
      <c r="M82" s="262">
        <f t="shared" si="15"/>
        <v>31.756379821958454</v>
      </c>
      <c r="N82" s="284">
        <f t="shared" si="16"/>
        <v>-22579</v>
      </c>
      <c r="O82" s="262"/>
      <c r="P82" s="246">
        <f>Données!AA82</f>
        <v>133</v>
      </c>
      <c r="Q82" s="281">
        <f>Données!AB82</f>
        <v>46</v>
      </c>
      <c r="R82" s="233">
        <f t="shared" si="17"/>
        <v>139.9</v>
      </c>
      <c r="S82" s="285">
        <f t="shared" si="18"/>
        <v>0.16517119244391973</v>
      </c>
      <c r="T82" s="270">
        <f t="shared" si="19"/>
        <v>115.35828220858893</v>
      </c>
      <c r="U82" s="270">
        <f t="shared" si="22"/>
        <v>24.541717791411074</v>
      </c>
      <c r="V82" s="284">
        <f t="shared" si="23"/>
        <v>-104964</v>
      </c>
      <c r="W82" s="337"/>
      <c r="X82" s="233">
        <f t="shared" si="24"/>
        <v>-29510.979228486642</v>
      </c>
      <c r="Y82" s="250">
        <f t="shared" si="25"/>
        <v>-75453.020771513358</v>
      </c>
    </row>
    <row r="83" spans="1:25" x14ac:dyDescent="0.25">
      <c r="A83" s="108">
        <f>Données!A83</f>
        <v>5534</v>
      </c>
      <c r="B83" s="116" t="str">
        <f>Données!B83</f>
        <v>Rueyres</v>
      </c>
      <c r="C83" s="249">
        <f>Données!C83</f>
        <v>302</v>
      </c>
      <c r="D83" s="262"/>
      <c r="E83" s="246">
        <f>Données!X83</f>
        <v>199</v>
      </c>
      <c r="F83" s="283">
        <f t="shared" si="13"/>
        <v>0.65894039735099341</v>
      </c>
      <c r="G83" s="262">
        <f t="shared" si="14"/>
        <v>226.53498069498067</v>
      </c>
      <c r="H83" s="270">
        <f t="shared" si="20"/>
        <v>0</v>
      </c>
      <c r="I83" s="284">
        <f t="shared" si="21"/>
        <v>0</v>
      </c>
      <c r="J83" s="262"/>
      <c r="K83" s="271">
        <f>Données!Y83</f>
        <v>0</v>
      </c>
      <c r="L83" s="418">
        <f>Données!Z83</f>
        <v>0.10100000000000001</v>
      </c>
      <c r="M83" s="262">
        <f t="shared" si="15"/>
        <v>59.396191889218599</v>
      </c>
      <c r="N83" s="284">
        <f t="shared" si="16"/>
        <v>0</v>
      </c>
      <c r="O83" s="262"/>
      <c r="P83" s="246">
        <f>Données!AA83</f>
        <v>36</v>
      </c>
      <c r="Q83" s="281">
        <f>Données!AB83</f>
        <v>1</v>
      </c>
      <c r="R83" s="233">
        <f t="shared" si="17"/>
        <v>36.15</v>
      </c>
      <c r="S83" s="285">
        <f t="shared" si="18"/>
        <v>0.11970198675496688</v>
      </c>
      <c r="T83" s="270">
        <f t="shared" si="19"/>
        <v>41.131288343558268</v>
      </c>
      <c r="U83" s="270">
        <f t="shared" si="22"/>
        <v>0</v>
      </c>
      <c r="V83" s="284">
        <f t="shared" si="23"/>
        <v>0</v>
      </c>
      <c r="W83" s="337"/>
      <c r="X83" s="233">
        <f t="shared" si="24"/>
        <v>0</v>
      </c>
      <c r="Y83" s="250">
        <f t="shared" si="25"/>
        <v>0</v>
      </c>
    </row>
    <row r="84" spans="1:25" x14ac:dyDescent="0.25">
      <c r="A84" s="108">
        <f>Données!A84</f>
        <v>5535</v>
      </c>
      <c r="B84" s="116" t="str">
        <f>Données!B84</f>
        <v>Saint-Barthélemy</v>
      </c>
      <c r="C84" s="249">
        <f>Données!C84</f>
        <v>838</v>
      </c>
      <c r="D84" s="262"/>
      <c r="E84" s="246">
        <f>Données!X84</f>
        <v>412</v>
      </c>
      <c r="F84" s="283">
        <f t="shared" si="13"/>
        <v>0.49164677804295942</v>
      </c>
      <c r="G84" s="262">
        <f t="shared" si="14"/>
        <v>628.59706563706561</v>
      </c>
      <c r="H84" s="270">
        <f t="shared" si="20"/>
        <v>0</v>
      </c>
      <c r="I84" s="284">
        <f t="shared" si="21"/>
        <v>0</v>
      </c>
      <c r="J84" s="262"/>
      <c r="K84" s="271">
        <f>Données!Y84</f>
        <v>0</v>
      </c>
      <c r="L84" s="418">
        <f>Données!Z84</f>
        <v>2.3E-2</v>
      </c>
      <c r="M84" s="262">
        <f t="shared" si="15"/>
        <v>13.525865479723047</v>
      </c>
      <c r="N84" s="284">
        <f t="shared" si="16"/>
        <v>0</v>
      </c>
      <c r="O84" s="262"/>
      <c r="P84" s="246">
        <f>Données!AA84</f>
        <v>106</v>
      </c>
      <c r="Q84" s="281">
        <f>Données!AB84</f>
        <v>104</v>
      </c>
      <c r="R84" s="233">
        <f t="shared" si="17"/>
        <v>121.6</v>
      </c>
      <c r="S84" s="285">
        <f t="shared" si="18"/>
        <v>0.14510739856801907</v>
      </c>
      <c r="T84" s="270">
        <f t="shared" si="19"/>
        <v>114.13251533742329</v>
      </c>
      <c r="U84" s="270">
        <f t="shared" si="22"/>
        <v>7.4674846625767088</v>
      </c>
      <c r="V84" s="284">
        <f t="shared" si="23"/>
        <v>-31938</v>
      </c>
      <c r="W84" s="337"/>
      <c r="X84" s="233">
        <f t="shared" si="24"/>
        <v>-31938</v>
      </c>
      <c r="Y84" s="250">
        <f t="shared" si="25"/>
        <v>0</v>
      </c>
    </row>
    <row r="85" spans="1:25" x14ac:dyDescent="0.25">
      <c r="A85" s="108">
        <f>Données!A85</f>
        <v>5537</v>
      </c>
      <c r="B85" s="116" t="str">
        <f>Données!B85</f>
        <v>Villars-le-Terroir</v>
      </c>
      <c r="C85" s="249">
        <f>Données!C85</f>
        <v>1334</v>
      </c>
      <c r="D85" s="262"/>
      <c r="E85" s="246">
        <f>Données!X85</f>
        <v>711</v>
      </c>
      <c r="F85" s="283">
        <f t="shared" si="13"/>
        <v>0.53298350824587704</v>
      </c>
      <c r="G85" s="262">
        <f t="shared" si="14"/>
        <v>1000.6545173745172</v>
      </c>
      <c r="H85" s="270">
        <f t="shared" si="20"/>
        <v>0</v>
      </c>
      <c r="I85" s="284">
        <f t="shared" si="21"/>
        <v>0</v>
      </c>
      <c r="J85" s="262"/>
      <c r="K85" s="271">
        <f>Données!Y85</f>
        <v>0</v>
      </c>
      <c r="L85" s="418">
        <f>Données!Z85</f>
        <v>2.3E-2</v>
      </c>
      <c r="M85" s="262">
        <f t="shared" si="15"/>
        <v>13.525865479723047</v>
      </c>
      <c r="N85" s="284">
        <f t="shared" si="16"/>
        <v>0</v>
      </c>
      <c r="O85" s="262"/>
      <c r="P85" s="246">
        <f>Données!AA85</f>
        <v>205</v>
      </c>
      <c r="Q85" s="281">
        <f>Données!AB85</f>
        <v>25</v>
      </c>
      <c r="R85" s="233">
        <f t="shared" si="17"/>
        <v>208.75</v>
      </c>
      <c r="S85" s="285">
        <f t="shared" si="18"/>
        <v>0.15648425787106446</v>
      </c>
      <c r="T85" s="270">
        <f t="shared" si="19"/>
        <v>181.68588957055209</v>
      </c>
      <c r="U85" s="270">
        <f t="shared" si="22"/>
        <v>27.064110429447908</v>
      </c>
      <c r="V85" s="284">
        <f t="shared" si="23"/>
        <v>-115752</v>
      </c>
      <c r="W85" s="337"/>
      <c r="X85" s="233">
        <f t="shared" si="24"/>
        <v>-16038.575667655785</v>
      </c>
      <c r="Y85" s="250">
        <f t="shared" si="25"/>
        <v>-99713.424332344221</v>
      </c>
    </row>
    <row r="86" spans="1:25" x14ac:dyDescent="0.25">
      <c r="A86" s="108">
        <f>Données!A86</f>
        <v>5539</v>
      </c>
      <c r="B86" s="116" t="str">
        <f>Données!B86</f>
        <v>Vuarrens</v>
      </c>
      <c r="C86" s="249">
        <f>Données!C86</f>
        <v>1113</v>
      </c>
      <c r="D86" s="262"/>
      <c r="E86" s="246">
        <f>Données!X86</f>
        <v>895</v>
      </c>
      <c r="F86" s="283">
        <f t="shared" si="13"/>
        <v>0.80413297394429473</v>
      </c>
      <c r="G86" s="262">
        <f t="shared" si="14"/>
        <v>834.87891891891888</v>
      </c>
      <c r="H86" s="270">
        <f t="shared" si="20"/>
        <v>60.121081081081115</v>
      </c>
      <c r="I86" s="284">
        <f t="shared" si="21"/>
        <v>-6428</v>
      </c>
      <c r="J86" s="262"/>
      <c r="K86" s="271">
        <f>Données!Y86</f>
        <v>0</v>
      </c>
      <c r="L86" s="418">
        <f>Données!Z86</f>
        <v>0.02</v>
      </c>
      <c r="M86" s="262">
        <f t="shared" si="15"/>
        <v>11.761622156280909</v>
      </c>
      <c r="N86" s="284">
        <f t="shared" si="16"/>
        <v>0</v>
      </c>
      <c r="O86" s="262"/>
      <c r="P86" s="246">
        <f>Données!AA86</f>
        <v>172</v>
      </c>
      <c r="Q86" s="281">
        <f>Données!AB86</f>
        <v>172</v>
      </c>
      <c r="R86" s="233">
        <f t="shared" si="17"/>
        <v>197.8</v>
      </c>
      <c r="S86" s="285">
        <f t="shared" si="18"/>
        <v>0.17771787960467206</v>
      </c>
      <c r="T86" s="270">
        <f t="shared" si="19"/>
        <v>151.58650306748461</v>
      </c>
      <c r="U86" s="270">
        <f t="shared" si="22"/>
        <v>46.213496932515397</v>
      </c>
      <c r="V86" s="284">
        <f t="shared" si="23"/>
        <v>-197653</v>
      </c>
      <c r="W86" s="337"/>
      <c r="X86" s="233">
        <f t="shared" si="24"/>
        <v>-110345.4005934718</v>
      </c>
      <c r="Y86" s="250">
        <f t="shared" si="25"/>
        <v>-87307.599406528199</v>
      </c>
    </row>
    <row r="87" spans="1:25" x14ac:dyDescent="0.25">
      <c r="A87" s="108">
        <f>Données!A87</f>
        <v>5540</v>
      </c>
      <c r="B87" s="116" t="str">
        <f>Données!B87</f>
        <v>Montilliez</v>
      </c>
      <c r="C87" s="249">
        <f>Données!C87</f>
        <v>1856</v>
      </c>
      <c r="D87" s="262"/>
      <c r="E87" s="246">
        <f>Données!X87</f>
        <v>1183</v>
      </c>
      <c r="F87" s="283">
        <f t="shared" si="13"/>
        <v>0.63739224137931039</v>
      </c>
      <c r="G87" s="262">
        <f t="shared" si="14"/>
        <v>1392.2149806949806</v>
      </c>
      <c r="H87" s="270">
        <f t="shared" si="20"/>
        <v>0</v>
      </c>
      <c r="I87" s="284">
        <f t="shared" si="21"/>
        <v>0</v>
      </c>
      <c r="J87" s="262"/>
      <c r="K87" s="271">
        <f>Données!Y87</f>
        <v>224</v>
      </c>
      <c r="L87" s="418">
        <f>Données!Z87</f>
        <v>5.5E-2</v>
      </c>
      <c r="M87" s="262">
        <f t="shared" si="15"/>
        <v>32.344460929772502</v>
      </c>
      <c r="N87" s="284">
        <f t="shared" si="16"/>
        <v>-7245</v>
      </c>
      <c r="O87" s="262"/>
      <c r="P87" s="246">
        <f>Données!AA87</f>
        <v>222</v>
      </c>
      <c r="Q87" s="281">
        <f>Données!AB87</f>
        <v>131</v>
      </c>
      <c r="R87" s="233">
        <f t="shared" si="17"/>
        <v>241.65</v>
      </c>
      <c r="S87" s="285">
        <f t="shared" si="18"/>
        <v>0.13019935344827588</v>
      </c>
      <c r="T87" s="270">
        <f t="shared" si="19"/>
        <v>252.78036809815944</v>
      </c>
      <c r="U87" s="270">
        <f t="shared" si="22"/>
        <v>0</v>
      </c>
      <c r="V87" s="284">
        <f t="shared" si="23"/>
        <v>0</v>
      </c>
      <c r="W87" s="337"/>
      <c r="X87" s="233">
        <f t="shared" si="24"/>
        <v>0</v>
      </c>
      <c r="Y87" s="250">
        <f t="shared" si="25"/>
        <v>0</v>
      </c>
    </row>
    <row r="88" spans="1:25" x14ac:dyDescent="0.25">
      <c r="A88" s="108">
        <f>Données!A88</f>
        <v>5541</v>
      </c>
      <c r="B88" s="116" t="str">
        <f>Données!B88</f>
        <v>Goumoëns</v>
      </c>
      <c r="C88" s="249">
        <f>Données!C88</f>
        <v>1251</v>
      </c>
      <c r="D88" s="262"/>
      <c r="E88" s="246">
        <f>Données!X88</f>
        <v>1063</v>
      </c>
      <c r="F88" s="283">
        <f t="shared" si="13"/>
        <v>0.84972022382094325</v>
      </c>
      <c r="G88" s="262">
        <f t="shared" si="14"/>
        <v>938.39490347490334</v>
      </c>
      <c r="H88" s="270">
        <f t="shared" si="20"/>
        <v>124.60509652509666</v>
      </c>
      <c r="I88" s="284">
        <f t="shared" si="21"/>
        <v>-13323</v>
      </c>
      <c r="J88" s="262"/>
      <c r="K88" s="271">
        <f>Données!Y88</f>
        <v>0</v>
      </c>
      <c r="L88" s="418">
        <f>Données!Z88</f>
        <v>2.9000000000000001E-2</v>
      </c>
      <c r="M88" s="262">
        <f t="shared" si="15"/>
        <v>17.05435212660732</v>
      </c>
      <c r="N88" s="284">
        <f t="shared" si="16"/>
        <v>0</v>
      </c>
      <c r="O88" s="262"/>
      <c r="P88" s="246">
        <f>Données!AA88</f>
        <v>221</v>
      </c>
      <c r="Q88" s="281">
        <f>Données!AB88</f>
        <v>120</v>
      </c>
      <c r="R88" s="233">
        <f t="shared" si="17"/>
        <v>239</v>
      </c>
      <c r="S88" s="285">
        <f t="shared" si="18"/>
        <v>0.19104716227018384</v>
      </c>
      <c r="T88" s="270">
        <f t="shared" si="19"/>
        <v>170.3815950920245</v>
      </c>
      <c r="U88" s="270">
        <f t="shared" si="22"/>
        <v>68.618404907975503</v>
      </c>
      <c r="V88" s="284">
        <f t="shared" si="23"/>
        <v>-293478</v>
      </c>
      <c r="W88" s="337"/>
      <c r="X88" s="233">
        <f t="shared" si="24"/>
        <v>-76985.163204747776</v>
      </c>
      <c r="Y88" s="250">
        <f t="shared" si="25"/>
        <v>-216492.83679525222</v>
      </c>
    </row>
    <row r="89" spans="1:25" x14ac:dyDescent="0.25">
      <c r="A89" s="108">
        <f>Données!A89</f>
        <v>5551</v>
      </c>
      <c r="B89" s="116" t="str">
        <f>Données!B89</f>
        <v>Bonvillars</v>
      </c>
      <c r="C89" s="249">
        <f>Données!C89</f>
        <v>517</v>
      </c>
      <c r="D89" s="262"/>
      <c r="E89" s="246">
        <f>Données!X89</f>
        <v>741</v>
      </c>
      <c r="F89" s="283">
        <f t="shared" si="13"/>
        <v>1.4332688588007736</v>
      </c>
      <c r="G89" s="262">
        <f t="shared" si="14"/>
        <v>387.80988416988413</v>
      </c>
      <c r="H89" s="270">
        <f t="shared" si="20"/>
        <v>353.19011583011587</v>
      </c>
      <c r="I89" s="284">
        <f t="shared" si="21"/>
        <v>-37764</v>
      </c>
      <c r="J89" s="262"/>
      <c r="K89" s="271">
        <f>Données!Y89</f>
        <v>23</v>
      </c>
      <c r="L89" s="418">
        <f>Données!Z89</f>
        <v>0.155</v>
      </c>
      <c r="M89" s="262">
        <f t="shared" si="15"/>
        <v>91.152571711177046</v>
      </c>
      <c r="N89" s="284">
        <f t="shared" si="16"/>
        <v>-2097</v>
      </c>
      <c r="O89" s="262"/>
      <c r="P89" s="246">
        <f>Données!AA89</f>
        <v>53</v>
      </c>
      <c r="Q89" s="281">
        <f>Données!AB89</f>
        <v>30</v>
      </c>
      <c r="R89" s="233">
        <f t="shared" si="17"/>
        <v>57.5</v>
      </c>
      <c r="S89" s="285">
        <f t="shared" si="18"/>
        <v>0.11121856866537717</v>
      </c>
      <c r="T89" s="270">
        <f t="shared" si="19"/>
        <v>70.413496932515315</v>
      </c>
      <c r="U89" s="270">
        <f t="shared" si="22"/>
        <v>0</v>
      </c>
      <c r="V89" s="284">
        <f t="shared" si="23"/>
        <v>0</v>
      </c>
      <c r="W89" s="337"/>
      <c r="X89" s="233">
        <f t="shared" si="24"/>
        <v>0</v>
      </c>
      <c r="Y89" s="250">
        <f t="shared" si="25"/>
        <v>0</v>
      </c>
    </row>
    <row r="90" spans="1:25" x14ac:dyDescent="0.25">
      <c r="A90" s="108">
        <f>Données!A90</f>
        <v>5552</v>
      </c>
      <c r="B90" s="116" t="str">
        <f>Données!B90</f>
        <v>Bullet</v>
      </c>
      <c r="C90" s="249">
        <f>Données!C90</f>
        <v>687</v>
      </c>
      <c r="D90" s="262"/>
      <c r="E90" s="246">
        <f>Données!X90</f>
        <v>1681</v>
      </c>
      <c r="F90" s="283">
        <f t="shared" si="13"/>
        <v>2.4468704512372637</v>
      </c>
      <c r="G90" s="262">
        <f t="shared" si="14"/>
        <v>515.32957528957525</v>
      </c>
      <c r="H90" s="270">
        <f t="shared" si="20"/>
        <v>1165.6704247104249</v>
      </c>
      <c r="I90" s="284">
        <f t="shared" si="21"/>
        <v>-124638</v>
      </c>
      <c r="J90" s="262"/>
      <c r="K90" s="271">
        <f>Données!Y90</f>
        <v>687</v>
      </c>
      <c r="L90" s="418">
        <f>Données!Z90</f>
        <v>0.16800000000000001</v>
      </c>
      <c r="M90" s="262">
        <f t="shared" si="15"/>
        <v>98.797626112759644</v>
      </c>
      <c r="N90" s="284">
        <f t="shared" si="16"/>
        <v>-67874</v>
      </c>
      <c r="O90" s="262"/>
      <c r="P90" s="246">
        <f>Données!AA90</f>
        <v>72</v>
      </c>
      <c r="Q90" s="281">
        <f>Données!AB90</f>
        <v>38</v>
      </c>
      <c r="R90" s="233">
        <f t="shared" si="17"/>
        <v>77.7</v>
      </c>
      <c r="S90" s="285">
        <f t="shared" si="18"/>
        <v>0.11310043668122272</v>
      </c>
      <c r="T90" s="270">
        <f t="shared" si="19"/>
        <v>93.566871165644145</v>
      </c>
      <c r="U90" s="270">
        <f t="shared" si="22"/>
        <v>0</v>
      </c>
      <c r="V90" s="284">
        <f t="shared" si="23"/>
        <v>0</v>
      </c>
      <c r="W90" s="337"/>
      <c r="X90" s="233">
        <f t="shared" si="24"/>
        <v>0</v>
      </c>
      <c r="Y90" s="250">
        <f t="shared" si="25"/>
        <v>0</v>
      </c>
    </row>
    <row r="91" spans="1:25" x14ac:dyDescent="0.25">
      <c r="A91" s="108">
        <f>Données!A91</f>
        <v>5553</v>
      </c>
      <c r="B91" s="116" t="str">
        <f>Données!B91</f>
        <v>Champagne</v>
      </c>
      <c r="C91" s="249">
        <f>Données!C91</f>
        <v>1087</v>
      </c>
      <c r="D91" s="262"/>
      <c r="E91" s="246">
        <f>Données!X91</f>
        <v>385</v>
      </c>
      <c r="F91" s="283">
        <f t="shared" si="13"/>
        <v>0.35418583256669733</v>
      </c>
      <c r="G91" s="262">
        <f t="shared" si="14"/>
        <v>815.3759073359073</v>
      </c>
      <c r="H91" s="270">
        <f t="shared" si="20"/>
        <v>0</v>
      </c>
      <c r="I91" s="284">
        <f t="shared" si="21"/>
        <v>0</v>
      </c>
      <c r="J91" s="262"/>
      <c r="K91" s="271">
        <f>Données!Y91</f>
        <v>0</v>
      </c>
      <c r="L91" s="418">
        <f>Données!Z91</f>
        <v>6.5000000000000002E-2</v>
      </c>
      <c r="M91" s="262">
        <f t="shared" si="15"/>
        <v>38.225272007912956</v>
      </c>
      <c r="N91" s="284">
        <f t="shared" si="16"/>
        <v>0</v>
      </c>
      <c r="O91" s="262"/>
      <c r="P91" s="246">
        <f>Données!AA91</f>
        <v>117</v>
      </c>
      <c r="Q91" s="281">
        <f>Données!AB91</f>
        <v>61</v>
      </c>
      <c r="R91" s="233">
        <f t="shared" si="17"/>
        <v>126.15</v>
      </c>
      <c r="S91" s="285">
        <f t="shared" si="18"/>
        <v>0.11605335786568538</v>
      </c>
      <c r="T91" s="270">
        <f t="shared" si="19"/>
        <v>148.0453987730061</v>
      </c>
      <c r="U91" s="270">
        <f t="shared" si="22"/>
        <v>0</v>
      </c>
      <c r="V91" s="284">
        <f t="shared" si="23"/>
        <v>0</v>
      </c>
      <c r="W91" s="337"/>
      <c r="X91" s="233">
        <f t="shared" si="24"/>
        <v>0</v>
      </c>
      <c r="Y91" s="250">
        <f t="shared" si="25"/>
        <v>0</v>
      </c>
    </row>
    <row r="92" spans="1:25" x14ac:dyDescent="0.25">
      <c r="A92" s="108">
        <f>Données!A92</f>
        <v>5554</v>
      </c>
      <c r="B92" s="116" t="str">
        <f>Données!B92</f>
        <v>Concise</v>
      </c>
      <c r="C92" s="249">
        <f>Données!C92</f>
        <v>1035</v>
      </c>
      <c r="D92" s="262"/>
      <c r="E92" s="246">
        <f>Données!X92</f>
        <v>1136</v>
      </c>
      <c r="F92" s="283">
        <f t="shared" si="13"/>
        <v>1.097584541062802</v>
      </c>
      <c r="G92" s="262">
        <f t="shared" si="14"/>
        <v>776.36988416988413</v>
      </c>
      <c r="H92" s="270">
        <f t="shared" si="20"/>
        <v>359.63011583011587</v>
      </c>
      <c r="I92" s="284">
        <f t="shared" si="21"/>
        <v>-38453</v>
      </c>
      <c r="J92" s="262"/>
      <c r="K92" s="271">
        <f>Données!Y92</f>
        <v>1</v>
      </c>
      <c r="L92" s="418">
        <f>Données!Z92</f>
        <v>0.251</v>
      </c>
      <c r="M92" s="262">
        <f t="shared" si="15"/>
        <v>147.60835806132542</v>
      </c>
      <c r="N92" s="284">
        <f t="shared" si="16"/>
        <v>-148</v>
      </c>
      <c r="O92" s="262"/>
      <c r="P92" s="246">
        <f>Données!AA92</f>
        <v>124</v>
      </c>
      <c r="Q92" s="281">
        <f>Données!AB92</f>
        <v>61</v>
      </c>
      <c r="R92" s="233">
        <f t="shared" si="17"/>
        <v>133.15</v>
      </c>
      <c r="S92" s="285">
        <f t="shared" si="18"/>
        <v>0.12864734299516908</v>
      </c>
      <c r="T92" s="270">
        <f t="shared" si="19"/>
        <v>140.96319018404904</v>
      </c>
      <c r="U92" s="270">
        <f t="shared" si="22"/>
        <v>0</v>
      </c>
      <c r="V92" s="284">
        <f t="shared" si="23"/>
        <v>0</v>
      </c>
      <c r="W92" s="337"/>
      <c r="X92" s="233">
        <f t="shared" si="24"/>
        <v>0</v>
      </c>
      <c r="Y92" s="250">
        <f t="shared" si="25"/>
        <v>0</v>
      </c>
    </row>
    <row r="93" spans="1:25" x14ac:dyDescent="0.25">
      <c r="A93" s="108">
        <f>Données!A93</f>
        <v>5555</v>
      </c>
      <c r="B93" s="116" t="str">
        <f>Données!B93</f>
        <v>Corcelles-près-Concise</v>
      </c>
      <c r="C93" s="249">
        <f>Données!C93</f>
        <v>439</v>
      </c>
      <c r="D93" s="262"/>
      <c r="E93" s="246">
        <f>Données!X93</f>
        <v>405</v>
      </c>
      <c r="F93" s="283">
        <f t="shared" si="13"/>
        <v>0.92255125284738038</v>
      </c>
      <c r="G93" s="262">
        <f t="shared" si="14"/>
        <v>329.30084942084937</v>
      </c>
      <c r="H93" s="270">
        <f t="shared" si="20"/>
        <v>75.699150579150626</v>
      </c>
      <c r="I93" s="284">
        <f t="shared" si="21"/>
        <v>-8094</v>
      </c>
      <c r="J93" s="262"/>
      <c r="K93" s="271">
        <f>Données!Y93</f>
        <v>0</v>
      </c>
      <c r="L93" s="418">
        <f>Données!Z93</f>
        <v>0.23599999999999999</v>
      </c>
      <c r="M93" s="262">
        <f t="shared" si="15"/>
        <v>138.78714144411472</v>
      </c>
      <c r="N93" s="284">
        <f t="shared" si="16"/>
        <v>0</v>
      </c>
      <c r="O93" s="262"/>
      <c r="P93" s="246">
        <f>Données!AA93</f>
        <v>55</v>
      </c>
      <c r="Q93" s="281">
        <f>Données!AB93</f>
        <v>30</v>
      </c>
      <c r="R93" s="233">
        <f t="shared" si="17"/>
        <v>59.5</v>
      </c>
      <c r="S93" s="285">
        <f t="shared" si="18"/>
        <v>0.13553530751708429</v>
      </c>
      <c r="T93" s="270">
        <f t="shared" si="19"/>
        <v>59.790184049079741</v>
      </c>
      <c r="U93" s="270">
        <f t="shared" si="22"/>
        <v>0</v>
      </c>
      <c r="V93" s="284">
        <f t="shared" si="23"/>
        <v>0</v>
      </c>
      <c r="W93" s="337"/>
      <c r="X93" s="233">
        <f t="shared" si="24"/>
        <v>0</v>
      </c>
      <c r="Y93" s="250">
        <f t="shared" si="25"/>
        <v>0</v>
      </c>
    </row>
    <row r="94" spans="1:25" x14ac:dyDescent="0.25">
      <c r="A94" s="108">
        <f>Données!A94</f>
        <v>5556</v>
      </c>
      <c r="B94" s="116" t="str">
        <f>Données!B94</f>
        <v>Fiez</v>
      </c>
      <c r="C94" s="249">
        <f>Données!C94</f>
        <v>421</v>
      </c>
      <c r="D94" s="262"/>
      <c r="E94" s="246">
        <f>Données!X94</f>
        <v>679</v>
      </c>
      <c r="F94" s="283">
        <f t="shared" si="13"/>
        <v>1.6128266033254157</v>
      </c>
      <c r="G94" s="262">
        <f t="shared" si="14"/>
        <v>315.79876447876444</v>
      </c>
      <c r="H94" s="270">
        <f t="shared" si="20"/>
        <v>363.20123552123556</v>
      </c>
      <c r="I94" s="284">
        <f t="shared" si="21"/>
        <v>-38835</v>
      </c>
      <c r="J94" s="262"/>
      <c r="K94" s="271">
        <f>Données!Y94</f>
        <v>0</v>
      </c>
      <c r="L94" s="418">
        <f>Données!Z94</f>
        <v>0.249</v>
      </c>
      <c r="M94" s="262">
        <f t="shared" si="15"/>
        <v>146.43219584569732</v>
      </c>
      <c r="N94" s="284">
        <f t="shared" si="16"/>
        <v>0</v>
      </c>
      <c r="O94" s="262"/>
      <c r="P94" s="246">
        <f>Données!AA94</f>
        <v>56</v>
      </c>
      <c r="Q94" s="281">
        <f>Données!AB94</f>
        <v>37</v>
      </c>
      <c r="R94" s="233">
        <f t="shared" si="17"/>
        <v>61.55</v>
      </c>
      <c r="S94" s="285">
        <f t="shared" si="18"/>
        <v>0.14619952494061758</v>
      </c>
      <c r="T94" s="270">
        <f t="shared" si="19"/>
        <v>57.338650306748448</v>
      </c>
      <c r="U94" s="270">
        <f t="shared" si="22"/>
        <v>4.2113496932515488</v>
      </c>
      <c r="V94" s="284">
        <f t="shared" si="23"/>
        <v>-18012</v>
      </c>
      <c r="W94" s="337"/>
      <c r="X94" s="233">
        <f t="shared" si="24"/>
        <v>-18012</v>
      </c>
      <c r="Y94" s="250">
        <f t="shared" si="25"/>
        <v>0</v>
      </c>
    </row>
    <row r="95" spans="1:25" x14ac:dyDescent="0.25">
      <c r="A95" s="108">
        <f>Données!A95</f>
        <v>5557</v>
      </c>
      <c r="B95" s="116" t="str">
        <f>Données!B95</f>
        <v>Fontaines-sur-Grandson</v>
      </c>
      <c r="C95" s="249">
        <f>Données!C95</f>
        <v>228</v>
      </c>
      <c r="D95" s="262"/>
      <c r="E95" s="246">
        <f>Données!X95</f>
        <v>790</v>
      </c>
      <c r="F95" s="283">
        <f t="shared" si="13"/>
        <v>3.4649122807017543</v>
      </c>
      <c r="G95" s="262">
        <f t="shared" si="14"/>
        <v>171.02640926640925</v>
      </c>
      <c r="H95" s="270">
        <f t="shared" si="20"/>
        <v>618.97359073359075</v>
      </c>
      <c r="I95" s="284">
        <f t="shared" si="21"/>
        <v>-66183</v>
      </c>
      <c r="J95" s="262"/>
      <c r="K95" s="271">
        <f>Données!Y95</f>
        <v>4</v>
      </c>
      <c r="L95" s="418">
        <f>Données!Z95</f>
        <v>0.223</v>
      </c>
      <c r="M95" s="262">
        <f t="shared" si="15"/>
        <v>131.14208704253215</v>
      </c>
      <c r="N95" s="284">
        <f t="shared" si="16"/>
        <v>-525</v>
      </c>
      <c r="O95" s="262"/>
      <c r="P95" s="246">
        <f>Données!AA95</f>
        <v>24</v>
      </c>
      <c r="Q95" s="281">
        <f>Données!AB95</f>
        <v>19</v>
      </c>
      <c r="R95" s="233">
        <f t="shared" si="17"/>
        <v>26.85</v>
      </c>
      <c r="S95" s="285">
        <f t="shared" si="18"/>
        <v>0.11776315789473685</v>
      </c>
      <c r="T95" s="270">
        <f t="shared" si="19"/>
        <v>31.052760736196312</v>
      </c>
      <c r="U95" s="270">
        <f t="shared" si="22"/>
        <v>0</v>
      </c>
      <c r="V95" s="284">
        <f t="shared" si="23"/>
        <v>0</v>
      </c>
      <c r="W95" s="337"/>
      <c r="X95" s="233">
        <f t="shared" si="24"/>
        <v>0</v>
      </c>
      <c r="Y95" s="250">
        <f t="shared" si="25"/>
        <v>0</v>
      </c>
    </row>
    <row r="96" spans="1:25" x14ac:dyDescent="0.25">
      <c r="A96" s="108">
        <f>Données!A96</f>
        <v>5559</v>
      </c>
      <c r="B96" s="116" t="str">
        <f>Données!B96</f>
        <v>Giez</v>
      </c>
      <c r="C96" s="249">
        <f>Données!C96</f>
        <v>464</v>
      </c>
      <c r="D96" s="262"/>
      <c r="E96" s="246">
        <f>Données!X96</f>
        <v>473</v>
      </c>
      <c r="F96" s="283">
        <f t="shared" si="13"/>
        <v>1.0193965517241379</v>
      </c>
      <c r="G96" s="262">
        <f t="shared" si="14"/>
        <v>348.05374517374514</v>
      </c>
      <c r="H96" s="270">
        <f t="shared" si="20"/>
        <v>124.94625482625486</v>
      </c>
      <c r="I96" s="284">
        <f t="shared" si="21"/>
        <v>-13360</v>
      </c>
      <c r="J96" s="262"/>
      <c r="K96" s="271">
        <f>Données!Y96</f>
        <v>0</v>
      </c>
      <c r="L96" s="418">
        <f>Données!Z96</f>
        <v>0.08</v>
      </c>
      <c r="M96" s="262">
        <f t="shared" si="15"/>
        <v>47.046488625123636</v>
      </c>
      <c r="N96" s="284">
        <f t="shared" si="16"/>
        <v>0</v>
      </c>
      <c r="O96" s="262"/>
      <c r="P96" s="246">
        <f>Données!AA96</f>
        <v>52</v>
      </c>
      <c r="Q96" s="281">
        <f>Données!AB96</f>
        <v>34</v>
      </c>
      <c r="R96" s="233">
        <f t="shared" si="17"/>
        <v>57.1</v>
      </c>
      <c r="S96" s="285">
        <f t="shared" si="18"/>
        <v>0.12306034482758621</v>
      </c>
      <c r="T96" s="270">
        <f t="shared" si="19"/>
        <v>63.195092024539861</v>
      </c>
      <c r="U96" s="270">
        <f t="shared" si="22"/>
        <v>0</v>
      </c>
      <c r="V96" s="284">
        <f t="shared" si="23"/>
        <v>0</v>
      </c>
      <c r="W96" s="337"/>
      <c r="X96" s="233">
        <f t="shared" si="24"/>
        <v>0</v>
      </c>
      <c r="Y96" s="250">
        <f t="shared" si="25"/>
        <v>0</v>
      </c>
    </row>
    <row r="97" spans="1:25" x14ac:dyDescent="0.25">
      <c r="A97" s="108">
        <f>Données!A97</f>
        <v>5560</v>
      </c>
      <c r="B97" s="116" t="str">
        <f>Données!B97</f>
        <v>Grandevent</v>
      </c>
      <c r="C97" s="249">
        <f>Données!C97</f>
        <v>241</v>
      </c>
      <c r="D97" s="262"/>
      <c r="E97" s="246">
        <f>Données!X97</f>
        <v>346</v>
      </c>
      <c r="F97" s="283">
        <f t="shared" si="13"/>
        <v>1.4356846473029046</v>
      </c>
      <c r="G97" s="262">
        <f t="shared" si="14"/>
        <v>180.77791505791504</v>
      </c>
      <c r="H97" s="270">
        <f t="shared" si="20"/>
        <v>165.22208494208496</v>
      </c>
      <c r="I97" s="284">
        <f t="shared" si="21"/>
        <v>-17666</v>
      </c>
      <c r="J97" s="262"/>
      <c r="K97" s="271">
        <f>Données!Y97</f>
        <v>0</v>
      </c>
      <c r="L97" s="418">
        <f>Données!Z97</f>
        <v>0.307</v>
      </c>
      <c r="M97" s="262">
        <f t="shared" si="15"/>
        <v>180.54090009891195</v>
      </c>
      <c r="N97" s="284">
        <f t="shared" si="16"/>
        <v>0</v>
      </c>
      <c r="O97" s="262"/>
      <c r="P97" s="246">
        <f>Données!AA97</f>
        <v>25</v>
      </c>
      <c r="Q97" s="281">
        <f>Données!AB97</f>
        <v>23</v>
      </c>
      <c r="R97" s="233">
        <f t="shared" si="17"/>
        <v>28.45</v>
      </c>
      <c r="S97" s="285">
        <f t="shared" si="18"/>
        <v>0.11804979253112033</v>
      </c>
      <c r="T97" s="270">
        <f t="shared" si="19"/>
        <v>32.823312883435577</v>
      </c>
      <c r="U97" s="270">
        <f t="shared" si="22"/>
        <v>0</v>
      </c>
      <c r="V97" s="284">
        <f t="shared" si="23"/>
        <v>0</v>
      </c>
      <c r="W97" s="337"/>
      <c r="X97" s="233">
        <f t="shared" si="24"/>
        <v>0</v>
      </c>
      <c r="Y97" s="250">
        <f t="shared" si="25"/>
        <v>0</v>
      </c>
    </row>
    <row r="98" spans="1:25" x14ac:dyDescent="0.25">
      <c r="A98" s="108">
        <f>Données!A98</f>
        <v>5561</v>
      </c>
      <c r="B98" s="116" t="str">
        <f>Données!B98</f>
        <v>Grandson</v>
      </c>
      <c r="C98" s="249">
        <f>Données!C98</f>
        <v>3391</v>
      </c>
      <c r="D98" s="262"/>
      <c r="E98" s="246">
        <f>Données!X98</f>
        <v>768</v>
      </c>
      <c r="F98" s="283">
        <f t="shared" si="13"/>
        <v>0.22648186375700383</v>
      </c>
      <c r="G98" s="262">
        <f t="shared" si="14"/>
        <v>2543.6427799227795</v>
      </c>
      <c r="H98" s="270">
        <f t="shared" si="20"/>
        <v>0</v>
      </c>
      <c r="I98" s="284">
        <f t="shared" si="21"/>
        <v>0</v>
      </c>
      <c r="J98" s="262"/>
      <c r="K98" s="271">
        <f>Données!Y98</f>
        <v>0</v>
      </c>
      <c r="L98" s="418">
        <f>Données!Z98</f>
        <v>5.3999999999999999E-2</v>
      </c>
      <c r="M98" s="262">
        <f t="shared" si="15"/>
        <v>31.756379821958454</v>
      </c>
      <c r="N98" s="284">
        <f t="shared" si="16"/>
        <v>0</v>
      </c>
      <c r="O98" s="262"/>
      <c r="P98" s="246">
        <f>Données!AA98</f>
        <v>374</v>
      </c>
      <c r="Q98" s="281">
        <f>Données!AB98</f>
        <v>105</v>
      </c>
      <c r="R98" s="233">
        <f t="shared" si="17"/>
        <v>389.75</v>
      </c>
      <c r="S98" s="285">
        <f t="shared" si="18"/>
        <v>0.11493659687407844</v>
      </c>
      <c r="T98" s="270">
        <f t="shared" si="19"/>
        <v>461.84171779141093</v>
      </c>
      <c r="U98" s="270">
        <f t="shared" si="22"/>
        <v>0</v>
      </c>
      <c r="V98" s="284">
        <f t="shared" si="23"/>
        <v>0</v>
      </c>
      <c r="W98" s="337"/>
      <c r="X98" s="233">
        <f t="shared" si="24"/>
        <v>0</v>
      </c>
      <c r="Y98" s="250">
        <f t="shared" si="25"/>
        <v>0</v>
      </c>
    </row>
    <row r="99" spans="1:25" x14ac:dyDescent="0.25">
      <c r="A99" s="108">
        <f>Données!A99</f>
        <v>5562</v>
      </c>
      <c r="B99" s="116" t="str">
        <f>Données!B99</f>
        <v>Mauborget</v>
      </c>
      <c r="C99" s="249">
        <f>Données!C99</f>
        <v>137</v>
      </c>
      <c r="D99" s="262"/>
      <c r="E99" s="246">
        <f>Données!X99</f>
        <v>551</v>
      </c>
      <c r="F99" s="283">
        <f t="shared" si="13"/>
        <v>4.0218978102189782</v>
      </c>
      <c r="G99" s="262">
        <f t="shared" si="14"/>
        <v>102.76586872586871</v>
      </c>
      <c r="H99" s="270">
        <f t="shared" si="20"/>
        <v>448.2341312741313</v>
      </c>
      <c r="I99" s="284">
        <f t="shared" si="21"/>
        <v>-47927</v>
      </c>
      <c r="J99" s="262"/>
      <c r="K99" s="271">
        <f>Données!Y99</f>
        <v>137</v>
      </c>
      <c r="L99" s="418">
        <f>Données!Z99</f>
        <v>0.30099999999999999</v>
      </c>
      <c r="M99" s="262">
        <f t="shared" si="15"/>
        <v>177.01241345202769</v>
      </c>
      <c r="N99" s="284">
        <f t="shared" si="16"/>
        <v>-24251</v>
      </c>
      <c r="O99" s="262"/>
      <c r="P99" s="246">
        <f>Données!AA99</f>
        <v>8</v>
      </c>
      <c r="Q99" s="281">
        <f>Données!AB99</f>
        <v>8</v>
      </c>
      <c r="R99" s="233">
        <f t="shared" si="17"/>
        <v>9.1999999999999993</v>
      </c>
      <c r="S99" s="285">
        <f t="shared" si="18"/>
        <v>6.7153284671532837E-2</v>
      </c>
      <c r="T99" s="270">
        <f t="shared" si="19"/>
        <v>18.658895705521466</v>
      </c>
      <c r="U99" s="270">
        <f t="shared" si="22"/>
        <v>0</v>
      </c>
      <c r="V99" s="284">
        <f t="shared" si="23"/>
        <v>0</v>
      </c>
      <c r="W99" s="337"/>
      <c r="X99" s="233">
        <f t="shared" si="24"/>
        <v>0</v>
      </c>
      <c r="Y99" s="250">
        <f t="shared" si="25"/>
        <v>0</v>
      </c>
    </row>
    <row r="100" spans="1:25" x14ac:dyDescent="0.25">
      <c r="A100" s="108">
        <f>Données!A100</f>
        <v>5563</v>
      </c>
      <c r="B100" s="116" t="str">
        <f>Données!B100</f>
        <v>Mutrux</v>
      </c>
      <c r="C100" s="249">
        <f>Données!C100</f>
        <v>138</v>
      </c>
      <c r="D100" s="262"/>
      <c r="E100" s="246">
        <f>Données!X100</f>
        <v>320</v>
      </c>
      <c r="F100" s="283">
        <f t="shared" si="13"/>
        <v>2.318840579710145</v>
      </c>
      <c r="G100" s="262">
        <f t="shared" si="14"/>
        <v>103.51598455598455</v>
      </c>
      <c r="H100" s="270">
        <f t="shared" si="20"/>
        <v>216.48401544401545</v>
      </c>
      <c r="I100" s="284">
        <f t="shared" si="21"/>
        <v>-23147</v>
      </c>
      <c r="J100" s="262"/>
      <c r="K100" s="271">
        <f>Données!Y100</f>
        <v>138</v>
      </c>
      <c r="L100" s="418">
        <f>Données!Z100</f>
        <v>0.24399999999999999</v>
      </c>
      <c r="M100" s="262">
        <f t="shared" si="15"/>
        <v>143.49179030662708</v>
      </c>
      <c r="N100" s="284">
        <f t="shared" si="16"/>
        <v>-19802</v>
      </c>
      <c r="O100" s="262"/>
      <c r="P100" s="246">
        <f>Données!AA100</f>
        <v>18</v>
      </c>
      <c r="Q100" s="281">
        <f>Données!AB100</f>
        <v>18</v>
      </c>
      <c r="R100" s="233">
        <f t="shared" si="17"/>
        <v>20.7</v>
      </c>
      <c r="S100" s="285">
        <f t="shared" si="18"/>
        <v>0.15</v>
      </c>
      <c r="T100" s="270">
        <f t="shared" si="19"/>
        <v>18.795092024539873</v>
      </c>
      <c r="U100" s="270">
        <f t="shared" si="22"/>
        <v>1.9049079754601266</v>
      </c>
      <c r="V100" s="284">
        <f t="shared" si="23"/>
        <v>-8147</v>
      </c>
      <c r="W100" s="337"/>
      <c r="X100" s="233">
        <f t="shared" si="24"/>
        <v>-8147</v>
      </c>
      <c r="Y100" s="250">
        <f t="shared" si="25"/>
        <v>0</v>
      </c>
    </row>
    <row r="101" spans="1:25" x14ac:dyDescent="0.25">
      <c r="A101" s="108">
        <f>Données!A101</f>
        <v>5564</v>
      </c>
      <c r="B101" s="116" t="str">
        <f>Données!B101</f>
        <v>Novalles</v>
      </c>
      <c r="C101" s="249">
        <f>Données!C101</f>
        <v>105</v>
      </c>
      <c r="D101" s="262"/>
      <c r="E101" s="246">
        <f>Données!X101</f>
        <v>201</v>
      </c>
      <c r="F101" s="283">
        <f t="shared" si="13"/>
        <v>1.9142857142857144</v>
      </c>
      <c r="G101" s="262">
        <f t="shared" si="14"/>
        <v>78.762162162162156</v>
      </c>
      <c r="H101" s="270">
        <f t="shared" si="20"/>
        <v>122.23783783783784</v>
      </c>
      <c r="I101" s="284">
        <f t="shared" si="21"/>
        <v>-13070</v>
      </c>
      <c r="J101" s="262"/>
      <c r="K101" s="271">
        <f>Données!Y101</f>
        <v>0</v>
      </c>
      <c r="L101" s="418">
        <f>Données!Z101</f>
        <v>0.40899999999999997</v>
      </c>
      <c r="M101" s="262">
        <f t="shared" si="15"/>
        <v>240.52517309594458</v>
      </c>
      <c r="N101" s="284">
        <f t="shared" si="16"/>
        <v>0</v>
      </c>
      <c r="O101" s="262"/>
      <c r="P101" s="246">
        <f>Données!AA101</f>
        <v>17</v>
      </c>
      <c r="Q101" s="281">
        <f>Données!AB101</f>
        <v>17</v>
      </c>
      <c r="R101" s="233">
        <f t="shared" si="17"/>
        <v>19.55</v>
      </c>
      <c r="S101" s="285">
        <f t="shared" si="18"/>
        <v>0.18619047619047618</v>
      </c>
      <c r="T101" s="270">
        <f t="shared" si="19"/>
        <v>14.300613496932511</v>
      </c>
      <c r="U101" s="270">
        <f t="shared" si="22"/>
        <v>5.2493865030674893</v>
      </c>
      <c r="V101" s="284">
        <f t="shared" si="23"/>
        <v>-22451</v>
      </c>
      <c r="W101" s="337"/>
      <c r="X101" s="233">
        <f t="shared" si="24"/>
        <v>-10906.231454005934</v>
      </c>
      <c r="Y101" s="250">
        <f t="shared" si="25"/>
        <v>-11544.768545994066</v>
      </c>
    </row>
    <row r="102" spans="1:25" x14ac:dyDescent="0.25">
      <c r="A102" s="108">
        <f>Données!A102</f>
        <v>5565</v>
      </c>
      <c r="B102" s="116" t="str">
        <f>Données!B102</f>
        <v>Onnens</v>
      </c>
      <c r="C102" s="249">
        <f>Données!C102</f>
        <v>527</v>
      </c>
      <c r="D102" s="262"/>
      <c r="E102" s="246">
        <f>Données!X102</f>
        <v>513</v>
      </c>
      <c r="F102" s="283">
        <f t="shared" si="13"/>
        <v>0.97343453510436428</v>
      </c>
      <c r="G102" s="262">
        <f t="shared" si="14"/>
        <v>395.31104247104241</v>
      </c>
      <c r="H102" s="270">
        <f t="shared" si="20"/>
        <v>117.68895752895759</v>
      </c>
      <c r="I102" s="284">
        <f t="shared" si="21"/>
        <v>-12584</v>
      </c>
      <c r="J102" s="262"/>
      <c r="K102" s="271">
        <f>Données!Y102</f>
        <v>2</v>
      </c>
      <c r="L102" s="418">
        <f>Données!Z102</f>
        <v>0.23899999999999999</v>
      </c>
      <c r="M102" s="262">
        <f t="shared" si="15"/>
        <v>140.55138476755687</v>
      </c>
      <c r="N102" s="284">
        <f t="shared" si="16"/>
        <v>-281</v>
      </c>
      <c r="O102" s="262"/>
      <c r="P102" s="246">
        <f>Données!AA102</f>
        <v>65</v>
      </c>
      <c r="Q102" s="281">
        <f>Données!AB102</f>
        <v>53</v>
      </c>
      <c r="R102" s="233">
        <f t="shared" si="17"/>
        <v>72.95</v>
      </c>
      <c r="S102" s="285">
        <f t="shared" si="18"/>
        <v>0.13842504743833017</v>
      </c>
      <c r="T102" s="270">
        <f t="shared" si="19"/>
        <v>71.775460122699371</v>
      </c>
      <c r="U102" s="270">
        <f t="shared" si="22"/>
        <v>1.1745398773006315</v>
      </c>
      <c r="V102" s="284">
        <f t="shared" si="23"/>
        <v>-5023</v>
      </c>
      <c r="W102" s="337"/>
      <c r="X102" s="233">
        <f t="shared" si="24"/>
        <v>-5023</v>
      </c>
      <c r="Y102" s="250">
        <f t="shared" si="25"/>
        <v>0</v>
      </c>
    </row>
    <row r="103" spans="1:25" x14ac:dyDescent="0.25">
      <c r="A103" s="108">
        <f>Données!A103</f>
        <v>5566</v>
      </c>
      <c r="B103" s="116" t="str">
        <f>Données!B103</f>
        <v>Provence</v>
      </c>
      <c r="C103" s="249">
        <f>Données!C103</f>
        <v>421</v>
      </c>
      <c r="D103" s="262"/>
      <c r="E103" s="246">
        <f>Données!X103</f>
        <v>3183</v>
      </c>
      <c r="F103" s="283">
        <f t="shared" si="13"/>
        <v>7.5605700712589075</v>
      </c>
      <c r="G103" s="262">
        <f t="shared" si="14"/>
        <v>315.79876447876444</v>
      </c>
      <c r="H103" s="270">
        <f t="shared" si="20"/>
        <v>2867.2012355212355</v>
      </c>
      <c r="I103" s="284">
        <f t="shared" si="21"/>
        <v>-306572</v>
      </c>
      <c r="J103" s="262"/>
      <c r="K103" s="271">
        <f>Données!Y103</f>
        <v>419</v>
      </c>
      <c r="L103" s="418">
        <f>Données!Z103</f>
        <v>9.9000000000000005E-2</v>
      </c>
      <c r="M103" s="262">
        <f t="shared" si="15"/>
        <v>58.220029673590503</v>
      </c>
      <c r="N103" s="284">
        <f t="shared" si="16"/>
        <v>-24394</v>
      </c>
      <c r="O103" s="262"/>
      <c r="P103" s="246">
        <f>Données!AA103</f>
        <v>43</v>
      </c>
      <c r="Q103" s="281">
        <f>Données!AB103</f>
        <v>43</v>
      </c>
      <c r="R103" s="233">
        <f t="shared" si="17"/>
        <v>49.45</v>
      </c>
      <c r="S103" s="285">
        <f t="shared" si="18"/>
        <v>0.117458432304038</v>
      </c>
      <c r="T103" s="270">
        <f t="shared" si="19"/>
        <v>57.338650306748448</v>
      </c>
      <c r="U103" s="270">
        <f t="shared" si="22"/>
        <v>0</v>
      </c>
      <c r="V103" s="284">
        <f t="shared" si="23"/>
        <v>0</v>
      </c>
      <c r="W103" s="337"/>
      <c r="X103" s="233">
        <f t="shared" si="24"/>
        <v>0</v>
      </c>
      <c r="Y103" s="250">
        <f t="shared" si="25"/>
        <v>0</v>
      </c>
    </row>
    <row r="104" spans="1:25" x14ac:dyDescent="0.25">
      <c r="A104" s="108">
        <f>Données!A104</f>
        <v>5568</v>
      </c>
      <c r="B104" s="116" t="str">
        <f>Données!B104</f>
        <v>Sainte-Croix</v>
      </c>
      <c r="C104" s="249">
        <f>Données!C104</f>
        <v>5149</v>
      </c>
      <c r="D104" s="262"/>
      <c r="E104" s="246">
        <f>Données!X104</f>
        <v>3882</v>
      </c>
      <c r="F104" s="283">
        <f t="shared" si="13"/>
        <v>0.75393280248591965</v>
      </c>
      <c r="G104" s="262">
        <f t="shared" si="14"/>
        <v>3862.346409266409</v>
      </c>
      <c r="H104" s="270">
        <f t="shared" si="20"/>
        <v>19.653590733591045</v>
      </c>
      <c r="I104" s="284">
        <f t="shared" si="21"/>
        <v>-2101</v>
      </c>
      <c r="J104" s="262"/>
      <c r="K104" s="271">
        <f>Données!Y104</f>
        <v>5140</v>
      </c>
      <c r="L104" s="418">
        <f>Données!Z104</f>
        <v>0.29599999999999999</v>
      </c>
      <c r="M104" s="262">
        <f t="shared" si="15"/>
        <v>174.07200791295745</v>
      </c>
      <c r="N104" s="284">
        <f t="shared" si="16"/>
        <v>-894730</v>
      </c>
      <c r="O104" s="262"/>
      <c r="P104" s="246">
        <f>Données!AA104</f>
        <v>450</v>
      </c>
      <c r="Q104" s="281">
        <f>Données!AB104</f>
        <v>102</v>
      </c>
      <c r="R104" s="233">
        <f t="shared" si="17"/>
        <v>465.3</v>
      </c>
      <c r="S104" s="285">
        <f t="shared" si="18"/>
        <v>9.0367061565352499E-2</v>
      </c>
      <c r="T104" s="270">
        <f t="shared" si="19"/>
        <v>701.27484662576671</v>
      </c>
      <c r="U104" s="270">
        <f t="shared" si="22"/>
        <v>0</v>
      </c>
      <c r="V104" s="284">
        <f t="shared" si="23"/>
        <v>0</v>
      </c>
      <c r="W104" s="337"/>
      <c r="X104" s="233">
        <f t="shared" si="24"/>
        <v>0</v>
      </c>
      <c r="Y104" s="250">
        <f t="shared" si="25"/>
        <v>0</v>
      </c>
    </row>
    <row r="105" spans="1:25" x14ac:dyDescent="0.25">
      <c r="A105" s="108">
        <f>Données!A105</f>
        <v>5571</v>
      </c>
      <c r="B105" s="116" t="str">
        <f>Données!B105</f>
        <v>Tévenon</v>
      </c>
      <c r="C105" s="249">
        <f>Données!C105</f>
        <v>857</v>
      </c>
      <c r="D105" s="262"/>
      <c r="E105" s="246">
        <f>Données!X105</f>
        <v>1431</v>
      </c>
      <c r="F105" s="283">
        <f t="shared" si="13"/>
        <v>1.6697782963827306</v>
      </c>
      <c r="G105" s="262">
        <f t="shared" si="14"/>
        <v>642.84926640926631</v>
      </c>
      <c r="H105" s="270">
        <f t="shared" si="20"/>
        <v>788.15073359073369</v>
      </c>
      <c r="I105" s="284">
        <f t="shared" si="21"/>
        <v>-84272</v>
      </c>
      <c r="J105" s="262"/>
      <c r="K105" s="271">
        <f>Données!Y105</f>
        <v>625</v>
      </c>
      <c r="L105" s="418">
        <f>Données!Z105</f>
        <v>0.23</v>
      </c>
      <c r="M105" s="262">
        <f t="shared" si="15"/>
        <v>135.25865479723046</v>
      </c>
      <c r="N105" s="284">
        <f t="shared" si="16"/>
        <v>-84537</v>
      </c>
      <c r="O105" s="262"/>
      <c r="P105" s="246">
        <f>Données!AA105</f>
        <v>106</v>
      </c>
      <c r="Q105" s="281">
        <f>Données!AB105</f>
        <v>106</v>
      </c>
      <c r="R105" s="233">
        <f t="shared" si="17"/>
        <v>121.9</v>
      </c>
      <c r="S105" s="285">
        <f t="shared" si="18"/>
        <v>0.14224037339556594</v>
      </c>
      <c r="T105" s="270">
        <f t="shared" si="19"/>
        <v>116.72024539877297</v>
      </c>
      <c r="U105" s="270">
        <f t="shared" si="22"/>
        <v>5.1797546012270317</v>
      </c>
      <c r="V105" s="284">
        <f t="shared" si="23"/>
        <v>-22154</v>
      </c>
      <c r="W105" s="337"/>
      <c r="X105" s="233">
        <f t="shared" si="24"/>
        <v>-22154</v>
      </c>
      <c r="Y105" s="250">
        <f t="shared" si="25"/>
        <v>0</v>
      </c>
    </row>
    <row r="106" spans="1:25" x14ac:dyDescent="0.25">
      <c r="A106" s="108">
        <f>Données!A106</f>
        <v>5581</v>
      </c>
      <c r="B106" s="116" t="str">
        <f>Données!B106</f>
        <v>Belmont-sur-Lausanne</v>
      </c>
      <c r="C106" s="249">
        <f>Données!C106</f>
        <v>3891</v>
      </c>
      <c r="D106" s="262"/>
      <c r="E106" s="246">
        <f>Données!X106</f>
        <v>261</v>
      </c>
      <c r="F106" s="283">
        <f t="shared" si="13"/>
        <v>6.7077872012336157E-2</v>
      </c>
      <c r="G106" s="262">
        <f t="shared" si="14"/>
        <v>2918.7006949806946</v>
      </c>
      <c r="H106" s="270">
        <f t="shared" si="20"/>
        <v>0</v>
      </c>
      <c r="I106" s="284">
        <f t="shared" si="21"/>
        <v>0</v>
      </c>
      <c r="J106" s="262"/>
      <c r="K106" s="271">
        <f>Données!Y106</f>
        <v>258</v>
      </c>
      <c r="L106" s="418">
        <f>Données!Z106</f>
        <v>0.26300000000000001</v>
      </c>
      <c r="M106" s="262">
        <f t="shared" si="15"/>
        <v>154.66533135509397</v>
      </c>
      <c r="N106" s="284">
        <f t="shared" si="16"/>
        <v>-39904</v>
      </c>
      <c r="O106" s="262"/>
      <c r="P106" s="246">
        <f>Données!AA106</f>
        <v>442</v>
      </c>
      <c r="Q106" s="281">
        <f>Données!AB106</f>
        <v>97</v>
      </c>
      <c r="R106" s="233">
        <f t="shared" si="17"/>
        <v>456.55</v>
      </c>
      <c r="S106" s="285">
        <f t="shared" si="18"/>
        <v>0.11733487535337959</v>
      </c>
      <c r="T106" s="270">
        <f t="shared" si="19"/>
        <v>529.93987730061338</v>
      </c>
      <c r="U106" s="270">
        <f t="shared" si="22"/>
        <v>0</v>
      </c>
      <c r="V106" s="284">
        <f t="shared" si="23"/>
        <v>0</v>
      </c>
      <c r="W106" s="337"/>
      <c r="X106" s="233">
        <f t="shared" si="24"/>
        <v>0</v>
      </c>
      <c r="Y106" s="250">
        <f t="shared" si="25"/>
        <v>0</v>
      </c>
    </row>
    <row r="107" spans="1:25" x14ac:dyDescent="0.25">
      <c r="A107" s="108">
        <f>Données!A107</f>
        <v>5582</v>
      </c>
      <c r="B107" s="116" t="str">
        <f>Données!B107</f>
        <v>Cheseaux-sur-Lausanne</v>
      </c>
      <c r="C107" s="249">
        <f>Données!C107</f>
        <v>4870</v>
      </c>
      <c r="D107" s="262"/>
      <c r="E107" s="246">
        <f>Données!X107</f>
        <v>453</v>
      </c>
      <c r="F107" s="283">
        <f t="shared" si="13"/>
        <v>9.3018480492813138E-2</v>
      </c>
      <c r="G107" s="262">
        <f t="shared" si="14"/>
        <v>3653.0640926640922</v>
      </c>
      <c r="H107" s="270">
        <f t="shared" si="20"/>
        <v>0</v>
      </c>
      <c r="I107" s="284">
        <f t="shared" si="21"/>
        <v>0</v>
      </c>
      <c r="J107" s="262"/>
      <c r="K107" s="271">
        <f>Données!Y107</f>
        <v>0</v>
      </c>
      <c r="L107" s="418">
        <f>Données!Z107</f>
        <v>3.1E-2</v>
      </c>
      <c r="M107" s="262">
        <f t="shared" si="15"/>
        <v>18.230514342235409</v>
      </c>
      <c r="N107" s="284">
        <f t="shared" si="16"/>
        <v>0</v>
      </c>
      <c r="O107" s="262"/>
      <c r="P107" s="246">
        <f>Données!AA107</f>
        <v>530</v>
      </c>
      <c r="Q107" s="281">
        <f>Données!AB107</f>
        <v>21</v>
      </c>
      <c r="R107" s="233">
        <f t="shared" si="17"/>
        <v>533.15</v>
      </c>
      <c r="S107" s="285">
        <f t="shared" si="18"/>
        <v>0.10947638603696098</v>
      </c>
      <c r="T107" s="270">
        <f t="shared" si="19"/>
        <v>663.27607361963169</v>
      </c>
      <c r="U107" s="270">
        <f t="shared" si="22"/>
        <v>0</v>
      </c>
      <c r="V107" s="284">
        <f t="shared" si="23"/>
        <v>0</v>
      </c>
      <c r="W107" s="337"/>
      <c r="X107" s="233">
        <f t="shared" si="24"/>
        <v>0</v>
      </c>
      <c r="Y107" s="250">
        <f t="shared" si="25"/>
        <v>0</v>
      </c>
    </row>
    <row r="108" spans="1:25" x14ac:dyDescent="0.25">
      <c r="A108" s="108">
        <f>Données!A108</f>
        <v>5583</v>
      </c>
      <c r="B108" s="116" t="str">
        <f>Données!B108</f>
        <v>Crissier</v>
      </c>
      <c r="C108" s="249">
        <f>Données!C108</f>
        <v>11116</v>
      </c>
      <c r="D108" s="262"/>
      <c r="E108" s="246">
        <f>Données!X108</f>
        <v>550</v>
      </c>
      <c r="F108" s="283">
        <f t="shared" si="13"/>
        <v>4.9478229578985247E-2</v>
      </c>
      <c r="G108" s="262">
        <f t="shared" si="14"/>
        <v>8338.2875675675677</v>
      </c>
      <c r="H108" s="270">
        <f t="shared" si="20"/>
        <v>0</v>
      </c>
      <c r="I108" s="284">
        <f t="shared" si="21"/>
        <v>0</v>
      </c>
      <c r="J108" s="262"/>
      <c r="K108" s="271">
        <f>Données!Y108</f>
        <v>0</v>
      </c>
      <c r="L108" s="418">
        <f>Données!Z108</f>
        <v>0.109</v>
      </c>
      <c r="M108" s="262">
        <f t="shared" si="15"/>
        <v>64.100840751730956</v>
      </c>
      <c r="N108" s="284">
        <f t="shared" si="16"/>
        <v>0</v>
      </c>
      <c r="O108" s="262"/>
      <c r="P108" s="246">
        <f>Données!AA108</f>
        <v>1208</v>
      </c>
      <c r="Q108" s="281">
        <f>Données!AB108</f>
        <v>36</v>
      </c>
      <c r="R108" s="233">
        <f t="shared" si="17"/>
        <v>1213.4000000000001</v>
      </c>
      <c r="S108" s="285">
        <f t="shared" si="18"/>
        <v>0.10915797049298309</v>
      </c>
      <c r="T108" s="270">
        <f t="shared" si="19"/>
        <v>1513.9582822085886</v>
      </c>
      <c r="U108" s="270">
        <f t="shared" si="22"/>
        <v>0</v>
      </c>
      <c r="V108" s="284">
        <f t="shared" si="23"/>
        <v>0</v>
      </c>
      <c r="W108" s="337"/>
      <c r="X108" s="233">
        <f t="shared" si="24"/>
        <v>0</v>
      </c>
      <c r="Y108" s="250">
        <f t="shared" si="25"/>
        <v>0</v>
      </c>
    </row>
    <row r="109" spans="1:25" x14ac:dyDescent="0.25">
      <c r="A109" s="108">
        <f>Données!A109</f>
        <v>5584</v>
      </c>
      <c r="B109" s="116" t="str">
        <f>Données!B109</f>
        <v>Epalinges</v>
      </c>
      <c r="C109" s="249">
        <f>Données!C109</f>
        <v>9869</v>
      </c>
      <c r="D109" s="262"/>
      <c r="E109" s="246">
        <f>Données!X109</f>
        <v>460</v>
      </c>
      <c r="F109" s="283">
        <f t="shared" si="13"/>
        <v>4.6610598844867769E-2</v>
      </c>
      <c r="G109" s="262">
        <f t="shared" si="14"/>
        <v>7402.8931274131264</v>
      </c>
      <c r="H109" s="270">
        <f t="shared" si="20"/>
        <v>0</v>
      </c>
      <c r="I109" s="284">
        <f t="shared" si="21"/>
        <v>0</v>
      </c>
      <c r="J109" s="262"/>
      <c r="K109" s="271">
        <f>Données!Y109</f>
        <v>6546</v>
      </c>
      <c r="L109" s="418">
        <f>Données!Z109</f>
        <v>0.17499999999999999</v>
      </c>
      <c r="M109" s="262">
        <f t="shared" si="15"/>
        <v>102.91419386745795</v>
      </c>
      <c r="N109" s="284">
        <f t="shared" si="16"/>
        <v>-673676</v>
      </c>
      <c r="O109" s="262"/>
      <c r="P109" s="246">
        <f>Données!AA109</f>
        <v>1143</v>
      </c>
      <c r="Q109" s="281">
        <f>Données!AB109</f>
        <v>156</v>
      </c>
      <c r="R109" s="233">
        <f t="shared" si="17"/>
        <v>1166.4000000000001</v>
      </c>
      <c r="S109" s="285">
        <f t="shared" si="18"/>
        <v>0.11818826628837775</v>
      </c>
      <c r="T109" s="270">
        <f t="shared" si="19"/>
        <v>1344.1214723926378</v>
      </c>
      <c r="U109" s="270">
        <f t="shared" si="22"/>
        <v>0</v>
      </c>
      <c r="V109" s="284">
        <f t="shared" si="23"/>
        <v>0</v>
      </c>
      <c r="W109" s="337"/>
      <c r="X109" s="233">
        <f t="shared" si="24"/>
        <v>0</v>
      </c>
      <c r="Y109" s="250">
        <f t="shared" si="25"/>
        <v>0</v>
      </c>
    </row>
    <row r="110" spans="1:25" x14ac:dyDescent="0.25">
      <c r="A110" s="108">
        <f>Données!A110</f>
        <v>5585</v>
      </c>
      <c r="B110" s="116" t="str">
        <f>Données!B110</f>
        <v>Jouxtens-Mézery</v>
      </c>
      <c r="C110" s="249">
        <f>Données!C110</f>
        <v>1455</v>
      </c>
      <c r="D110" s="262"/>
      <c r="E110" s="246">
        <f>Données!X110</f>
        <v>191</v>
      </c>
      <c r="F110" s="283">
        <f t="shared" si="13"/>
        <v>0.13127147766323025</v>
      </c>
      <c r="G110" s="262">
        <f t="shared" si="14"/>
        <v>1091.4185328185326</v>
      </c>
      <c r="H110" s="270">
        <f t="shared" si="20"/>
        <v>0</v>
      </c>
      <c r="I110" s="284">
        <f t="shared" si="21"/>
        <v>0</v>
      </c>
      <c r="J110" s="262"/>
      <c r="K110" s="271">
        <f>Données!Y110</f>
        <v>0</v>
      </c>
      <c r="L110" s="418">
        <f>Données!Z110</f>
        <v>9.9000000000000005E-2</v>
      </c>
      <c r="M110" s="262">
        <f t="shared" si="15"/>
        <v>58.220029673590503</v>
      </c>
      <c r="N110" s="284">
        <f t="shared" si="16"/>
        <v>0</v>
      </c>
      <c r="O110" s="262"/>
      <c r="P110" s="246">
        <f>Données!AA110</f>
        <v>152</v>
      </c>
      <c r="Q110" s="281">
        <f>Données!AB110</f>
        <v>29</v>
      </c>
      <c r="R110" s="233">
        <f t="shared" si="17"/>
        <v>156.35</v>
      </c>
      <c r="S110" s="285">
        <f t="shared" si="18"/>
        <v>0.10745704467353952</v>
      </c>
      <c r="T110" s="270">
        <f t="shared" si="19"/>
        <v>198.16564417177909</v>
      </c>
      <c r="U110" s="270">
        <f t="shared" si="22"/>
        <v>0</v>
      </c>
      <c r="V110" s="284">
        <f t="shared" si="23"/>
        <v>0</v>
      </c>
      <c r="W110" s="337"/>
      <c r="X110" s="233">
        <f t="shared" si="24"/>
        <v>0</v>
      </c>
      <c r="Y110" s="250">
        <f t="shared" si="25"/>
        <v>0</v>
      </c>
    </row>
    <row r="111" spans="1:25" x14ac:dyDescent="0.25">
      <c r="A111" s="108">
        <f>Données!A111</f>
        <v>5586</v>
      </c>
      <c r="B111" s="116" t="str">
        <f>Données!B111</f>
        <v>Lausanne</v>
      </c>
      <c r="C111" s="249">
        <f>Données!C111</f>
        <v>145707</v>
      </c>
      <c r="D111" s="262"/>
      <c r="E111" s="246">
        <f>Données!X111</f>
        <v>4127</v>
      </c>
      <c r="F111" s="283">
        <f t="shared" si="13"/>
        <v>2.8323965217868736E-2</v>
      </c>
      <c r="G111" s="262">
        <f t="shared" si="14"/>
        <v>109297.12725868725</v>
      </c>
      <c r="H111" s="270">
        <f t="shared" si="20"/>
        <v>0</v>
      </c>
      <c r="I111" s="284">
        <f t="shared" si="21"/>
        <v>0</v>
      </c>
      <c r="J111" s="262"/>
      <c r="K111" s="271">
        <f>Données!Y111</f>
        <v>3869</v>
      </c>
      <c r="L111" s="418">
        <f>Données!Z111</f>
        <v>0.106</v>
      </c>
      <c r="M111" s="262">
        <f t="shared" si="15"/>
        <v>62.336597428288819</v>
      </c>
      <c r="N111" s="284">
        <f t="shared" si="16"/>
        <v>-241180</v>
      </c>
      <c r="O111" s="262"/>
      <c r="P111" s="246">
        <f>Données!AA111</f>
        <v>14469</v>
      </c>
      <c r="Q111" s="281">
        <f>Données!AB111</f>
        <v>801</v>
      </c>
      <c r="R111" s="233">
        <f t="shared" si="17"/>
        <v>14589.15</v>
      </c>
      <c r="S111" s="285">
        <f t="shared" si="18"/>
        <v>0.10012662397825774</v>
      </c>
      <c r="T111" s="270">
        <f t="shared" si="19"/>
        <v>19844.757055214719</v>
      </c>
      <c r="U111" s="270">
        <f t="shared" si="22"/>
        <v>0</v>
      </c>
      <c r="V111" s="284">
        <f t="shared" si="23"/>
        <v>0</v>
      </c>
      <c r="W111" s="337"/>
      <c r="X111" s="233">
        <f t="shared" si="24"/>
        <v>0</v>
      </c>
      <c r="Y111" s="250">
        <f t="shared" si="25"/>
        <v>0</v>
      </c>
    </row>
    <row r="112" spans="1:25" x14ac:dyDescent="0.25">
      <c r="A112" s="108">
        <f>Données!A112</f>
        <v>5587</v>
      </c>
      <c r="B112" s="116" t="str">
        <f>Données!B112</f>
        <v>Le Mont-sur-Lausanne</v>
      </c>
      <c r="C112" s="249">
        <f>Données!C112</f>
        <v>9785</v>
      </c>
      <c r="D112" s="262"/>
      <c r="E112" s="246">
        <f>Données!X112</f>
        <v>971</v>
      </c>
      <c r="F112" s="283">
        <f t="shared" si="13"/>
        <v>9.9233520694941235E-2</v>
      </c>
      <c r="G112" s="262">
        <f t="shared" si="14"/>
        <v>7339.8833976833967</v>
      </c>
      <c r="H112" s="270">
        <f t="shared" si="20"/>
        <v>0</v>
      </c>
      <c r="I112" s="284">
        <f t="shared" si="21"/>
        <v>0</v>
      </c>
      <c r="J112" s="262"/>
      <c r="K112" s="271">
        <f>Données!Y112</f>
        <v>627</v>
      </c>
      <c r="L112" s="418">
        <f>Données!Z112</f>
        <v>8.5000000000000006E-2</v>
      </c>
      <c r="M112" s="262">
        <f t="shared" si="15"/>
        <v>49.98689416419387</v>
      </c>
      <c r="N112" s="284">
        <f t="shared" si="16"/>
        <v>-31342</v>
      </c>
      <c r="O112" s="262"/>
      <c r="P112" s="246">
        <f>Données!AA112</f>
        <v>1311</v>
      </c>
      <c r="Q112" s="281">
        <f>Données!AB112</f>
        <v>47</v>
      </c>
      <c r="R112" s="233">
        <f t="shared" si="17"/>
        <v>1318.05</v>
      </c>
      <c r="S112" s="285">
        <f t="shared" si="18"/>
        <v>0.13470107307102708</v>
      </c>
      <c r="T112" s="270">
        <f t="shared" si="19"/>
        <v>1332.6809815950917</v>
      </c>
      <c r="U112" s="270">
        <f t="shared" si="22"/>
        <v>0</v>
      </c>
      <c r="V112" s="284">
        <f t="shared" si="23"/>
        <v>0</v>
      </c>
      <c r="W112" s="337"/>
      <c r="X112" s="233">
        <f t="shared" si="24"/>
        <v>0</v>
      </c>
      <c r="Y112" s="250">
        <f t="shared" si="25"/>
        <v>0</v>
      </c>
    </row>
    <row r="113" spans="1:25" x14ac:dyDescent="0.25">
      <c r="A113" s="108">
        <f>Données!A113</f>
        <v>5588</v>
      </c>
      <c r="B113" s="116" t="str">
        <f>Données!B113</f>
        <v>Paudex</v>
      </c>
      <c r="C113" s="249">
        <f>Données!C113</f>
        <v>1483</v>
      </c>
      <c r="D113" s="262"/>
      <c r="E113" s="246">
        <f>Données!X113</f>
        <v>50</v>
      </c>
      <c r="F113" s="283">
        <f t="shared" si="13"/>
        <v>3.3715441672285906E-2</v>
      </c>
      <c r="G113" s="262">
        <f t="shared" si="14"/>
        <v>1112.421776061776</v>
      </c>
      <c r="H113" s="270">
        <f t="shared" si="20"/>
        <v>0</v>
      </c>
      <c r="I113" s="284">
        <f t="shared" si="21"/>
        <v>0</v>
      </c>
      <c r="J113" s="262"/>
      <c r="K113" s="271">
        <f>Données!Y113</f>
        <v>0</v>
      </c>
      <c r="L113" s="418">
        <f>Données!Z113</f>
        <v>0.248</v>
      </c>
      <c r="M113" s="262">
        <f t="shared" si="15"/>
        <v>145.84411473788327</v>
      </c>
      <c r="N113" s="284">
        <f t="shared" si="16"/>
        <v>0</v>
      </c>
      <c r="O113" s="262"/>
      <c r="P113" s="246">
        <f>Données!AA113</f>
        <v>138</v>
      </c>
      <c r="Q113" s="281">
        <f>Données!AB113</f>
        <v>1</v>
      </c>
      <c r="R113" s="233">
        <f t="shared" si="17"/>
        <v>138.15</v>
      </c>
      <c r="S113" s="285">
        <f t="shared" si="18"/>
        <v>9.315576534052597E-2</v>
      </c>
      <c r="T113" s="270">
        <f t="shared" si="19"/>
        <v>201.97914110429443</v>
      </c>
      <c r="U113" s="270">
        <f t="shared" si="22"/>
        <v>0</v>
      </c>
      <c r="V113" s="284">
        <f t="shared" si="23"/>
        <v>0</v>
      </c>
      <c r="W113" s="337"/>
      <c r="X113" s="233">
        <f t="shared" si="24"/>
        <v>0</v>
      </c>
      <c r="Y113" s="250">
        <f t="shared" si="25"/>
        <v>0</v>
      </c>
    </row>
    <row r="114" spans="1:25" x14ac:dyDescent="0.25">
      <c r="A114" s="108">
        <f>Données!A114</f>
        <v>5589</v>
      </c>
      <c r="B114" s="116" t="str">
        <f>Données!B114</f>
        <v>Prilly</v>
      </c>
      <c r="C114" s="249">
        <f>Données!C114</f>
        <v>13069</v>
      </c>
      <c r="D114" s="262"/>
      <c r="E114" s="246">
        <f>Données!X114</f>
        <v>219</v>
      </c>
      <c r="F114" s="283">
        <f t="shared" si="13"/>
        <v>1.6757211722396512E-2</v>
      </c>
      <c r="G114" s="262">
        <f t="shared" si="14"/>
        <v>9803.2637837837829</v>
      </c>
      <c r="H114" s="270">
        <f t="shared" si="20"/>
        <v>0</v>
      </c>
      <c r="I114" s="284">
        <f t="shared" si="21"/>
        <v>0</v>
      </c>
      <c r="J114" s="262"/>
      <c r="K114" s="271">
        <f>Données!Y114</f>
        <v>0</v>
      </c>
      <c r="L114" s="418">
        <f>Données!Z114</f>
        <v>9.4E-2</v>
      </c>
      <c r="M114" s="262">
        <f t="shared" si="15"/>
        <v>55.279624134520276</v>
      </c>
      <c r="N114" s="284">
        <f t="shared" si="16"/>
        <v>0</v>
      </c>
      <c r="O114" s="262"/>
      <c r="P114" s="246">
        <f>Données!AA114</f>
        <v>1300</v>
      </c>
      <c r="Q114" s="281">
        <f>Données!AB114</f>
        <v>24</v>
      </c>
      <c r="R114" s="233">
        <f t="shared" si="17"/>
        <v>1303.5999999999999</v>
      </c>
      <c r="S114" s="285">
        <f t="shared" si="18"/>
        <v>9.9747494069936479E-2</v>
      </c>
      <c r="T114" s="270">
        <f t="shared" si="19"/>
        <v>1779.9496932515333</v>
      </c>
      <c r="U114" s="270">
        <f t="shared" si="22"/>
        <v>0</v>
      </c>
      <c r="V114" s="284">
        <f t="shared" si="23"/>
        <v>0</v>
      </c>
      <c r="W114" s="337"/>
      <c r="X114" s="233">
        <f t="shared" si="24"/>
        <v>0</v>
      </c>
      <c r="Y114" s="250">
        <f t="shared" si="25"/>
        <v>0</v>
      </c>
    </row>
    <row r="115" spans="1:25" x14ac:dyDescent="0.25">
      <c r="A115" s="108">
        <f>Données!A115</f>
        <v>5590</v>
      </c>
      <c r="B115" s="116" t="str">
        <f>Données!B115</f>
        <v>Pully</v>
      </c>
      <c r="C115" s="249">
        <f>Données!C115</f>
        <v>19550</v>
      </c>
      <c r="D115" s="262"/>
      <c r="E115" s="246">
        <f>Données!X115</f>
        <v>589</v>
      </c>
      <c r="F115" s="283">
        <f t="shared" si="13"/>
        <v>3.0127877237851663E-2</v>
      </c>
      <c r="G115" s="262">
        <f t="shared" si="14"/>
        <v>14664.764478764477</v>
      </c>
      <c r="H115" s="270">
        <f t="shared" si="20"/>
        <v>0</v>
      </c>
      <c r="I115" s="284">
        <f t="shared" si="21"/>
        <v>0</v>
      </c>
      <c r="J115" s="262"/>
      <c r="K115" s="271">
        <f>Données!Y115</f>
        <v>44</v>
      </c>
      <c r="L115" s="418">
        <f>Données!Z115</f>
        <v>0.193</v>
      </c>
      <c r="M115" s="262">
        <f t="shared" si="15"/>
        <v>113.49965380811078</v>
      </c>
      <c r="N115" s="284">
        <f t="shared" si="16"/>
        <v>-4994</v>
      </c>
      <c r="O115" s="262"/>
      <c r="P115" s="246">
        <f>Données!AA115</f>
        <v>1887</v>
      </c>
      <c r="Q115" s="281">
        <f>Données!AB115</f>
        <v>64</v>
      </c>
      <c r="R115" s="233">
        <f t="shared" si="17"/>
        <v>1896.6</v>
      </c>
      <c r="S115" s="285">
        <f t="shared" si="18"/>
        <v>9.701278772378516E-2</v>
      </c>
      <c r="T115" s="270">
        <f t="shared" si="19"/>
        <v>2662.6380368098153</v>
      </c>
      <c r="U115" s="270">
        <f t="shared" si="22"/>
        <v>0</v>
      </c>
      <c r="V115" s="284">
        <f t="shared" si="23"/>
        <v>0</v>
      </c>
      <c r="W115" s="337"/>
      <c r="X115" s="233">
        <f t="shared" si="24"/>
        <v>0</v>
      </c>
      <c r="Y115" s="250">
        <f t="shared" si="25"/>
        <v>0</v>
      </c>
    </row>
    <row r="116" spans="1:25" x14ac:dyDescent="0.25">
      <c r="A116" s="108">
        <f>Données!A116</f>
        <v>5591</v>
      </c>
      <c r="B116" s="116" t="str">
        <f>Données!B116</f>
        <v>Renens</v>
      </c>
      <c r="C116" s="249">
        <f>Données!C116</f>
        <v>21827</v>
      </c>
      <c r="D116" s="262"/>
      <c r="E116" s="246">
        <f>Données!X116</f>
        <v>295</v>
      </c>
      <c r="F116" s="283">
        <f t="shared" si="13"/>
        <v>1.3515370870939661E-2</v>
      </c>
      <c r="G116" s="262">
        <f t="shared" si="14"/>
        <v>16372.778223938223</v>
      </c>
      <c r="H116" s="270">
        <f t="shared" si="20"/>
        <v>0</v>
      </c>
      <c r="I116" s="284">
        <f t="shared" si="21"/>
        <v>0</v>
      </c>
      <c r="J116" s="262"/>
      <c r="K116" s="271">
        <f>Données!Y116</f>
        <v>0</v>
      </c>
      <c r="L116" s="418">
        <f>Données!Z116</f>
        <v>6.2E-2</v>
      </c>
      <c r="M116" s="262">
        <f t="shared" si="15"/>
        <v>36.461028684470818</v>
      </c>
      <c r="N116" s="284">
        <f t="shared" si="16"/>
        <v>0</v>
      </c>
      <c r="O116" s="262"/>
      <c r="P116" s="246">
        <f>Données!AA116</f>
        <v>2319</v>
      </c>
      <c r="Q116" s="281">
        <f>Données!AB116</f>
        <v>20</v>
      </c>
      <c r="R116" s="233">
        <f t="shared" si="17"/>
        <v>2322</v>
      </c>
      <c r="S116" s="285">
        <f t="shared" si="18"/>
        <v>0.10638200394007422</v>
      </c>
      <c r="T116" s="270">
        <f t="shared" si="19"/>
        <v>2972.7570552147231</v>
      </c>
      <c r="U116" s="270">
        <f t="shared" si="22"/>
        <v>0</v>
      </c>
      <c r="V116" s="284">
        <f t="shared" si="23"/>
        <v>0</v>
      </c>
      <c r="W116" s="337"/>
      <c r="X116" s="233">
        <f t="shared" si="24"/>
        <v>0</v>
      </c>
      <c r="Y116" s="250">
        <f t="shared" si="25"/>
        <v>0</v>
      </c>
    </row>
    <row r="117" spans="1:25" x14ac:dyDescent="0.25">
      <c r="A117" s="108">
        <f>Données!A117</f>
        <v>5592</v>
      </c>
      <c r="B117" s="116" t="str">
        <f>Données!B117</f>
        <v>Romanel-sur-Lausanne</v>
      </c>
      <c r="C117" s="249">
        <f>Données!C117</f>
        <v>4331</v>
      </c>
      <c r="D117" s="262"/>
      <c r="E117" s="246">
        <f>Données!X117</f>
        <v>290</v>
      </c>
      <c r="F117" s="283">
        <f t="shared" si="13"/>
        <v>6.6959131840221661E-2</v>
      </c>
      <c r="G117" s="262">
        <f t="shared" si="14"/>
        <v>3248.75166023166</v>
      </c>
      <c r="H117" s="270">
        <f t="shared" si="20"/>
        <v>0</v>
      </c>
      <c r="I117" s="284">
        <f t="shared" si="21"/>
        <v>0</v>
      </c>
      <c r="J117" s="262"/>
      <c r="K117" s="271">
        <f>Données!Y117</f>
        <v>0</v>
      </c>
      <c r="L117" s="418">
        <f>Données!Z117</f>
        <v>3.4000000000000002E-2</v>
      </c>
      <c r="M117" s="262">
        <f t="shared" si="15"/>
        <v>19.994757665677547</v>
      </c>
      <c r="N117" s="284">
        <f t="shared" si="16"/>
        <v>0</v>
      </c>
      <c r="O117" s="262"/>
      <c r="P117" s="246">
        <f>Données!AA117</f>
        <v>515</v>
      </c>
      <c r="Q117" s="281">
        <f>Données!AB117</f>
        <v>224</v>
      </c>
      <c r="R117" s="233">
        <f t="shared" si="17"/>
        <v>548.6</v>
      </c>
      <c r="S117" s="285">
        <f t="shared" si="18"/>
        <v>0.1266682059570538</v>
      </c>
      <c r="T117" s="270">
        <f t="shared" si="19"/>
        <v>589.86625766871146</v>
      </c>
      <c r="U117" s="270">
        <f t="shared" si="22"/>
        <v>0</v>
      </c>
      <c r="V117" s="284">
        <f t="shared" si="23"/>
        <v>0</v>
      </c>
      <c r="W117" s="337"/>
      <c r="X117" s="233">
        <f t="shared" si="24"/>
        <v>0</v>
      </c>
      <c r="Y117" s="250">
        <f t="shared" si="25"/>
        <v>0</v>
      </c>
    </row>
    <row r="118" spans="1:25" x14ac:dyDescent="0.25">
      <c r="A118" s="108">
        <f>Données!A118</f>
        <v>5601</v>
      </c>
      <c r="B118" s="116" t="str">
        <f>Données!B118</f>
        <v>Chexbres</v>
      </c>
      <c r="C118" s="249">
        <f>Données!C118</f>
        <v>2272</v>
      </c>
      <c r="D118" s="262"/>
      <c r="E118" s="246">
        <f>Données!X118</f>
        <v>218</v>
      </c>
      <c r="F118" s="283">
        <f t="shared" si="13"/>
        <v>9.595070422535211E-2</v>
      </c>
      <c r="G118" s="262">
        <f t="shared" si="14"/>
        <v>1704.2631660231659</v>
      </c>
      <c r="H118" s="270">
        <f t="shared" si="20"/>
        <v>0</v>
      </c>
      <c r="I118" s="284">
        <f t="shared" si="21"/>
        <v>0</v>
      </c>
      <c r="J118" s="262"/>
      <c r="K118" s="271">
        <f>Données!Y118</f>
        <v>0</v>
      </c>
      <c r="L118" s="418">
        <f>Données!Z118</f>
        <v>0.216</v>
      </c>
      <c r="M118" s="262">
        <f t="shared" si="15"/>
        <v>127.02551928783382</v>
      </c>
      <c r="N118" s="284">
        <f t="shared" si="16"/>
        <v>0</v>
      </c>
      <c r="O118" s="262"/>
      <c r="P118" s="246">
        <f>Données!AA118</f>
        <v>215</v>
      </c>
      <c r="Q118" s="281">
        <f>Données!AB118</f>
        <v>8</v>
      </c>
      <c r="R118" s="233">
        <f t="shared" si="17"/>
        <v>216.2</v>
      </c>
      <c r="S118" s="285">
        <f t="shared" si="18"/>
        <v>9.515845070422535E-2</v>
      </c>
      <c r="T118" s="270">
        <f t="shared" si="19"/>
        <v>309.43803680981586</v>
      </c>
      <c r="U118" s="270">
        <f t="shared" si="22"/>
        <v>0</v>
      </c>
      <c r="V118" s="284">
        <f t="shared" si="23"/>
        <v>0</v>
      </c>
      <c r="W118" s="337"/>
      <c r="X118" s="233">
        <f t="shared" si="24"/>
        <v>0</v>
      </c>
      <c r="Y118" s="250">
        <f t="shared" si="25"/>
        <v>0</v>
      </c>
    </row>
    <row r="119" spans="1:25" x14ac:dyDescent="0.25">
      <c r="A119" s="108">
        <f>Données!A119</f>
        <v>5604</v>
      </c>
      <c r="B119" s="116" t="str">
        <f>Données!B119</f>
        <v>Forel (Lavaux)</v>
      </c>
      <c r="C119" s="249">
        <f>Données!C119</f>
        <v>2113</v>
      </c>
      <c r="D119" s="262"/>
      <c r="E119" s="246">
        <f>Données!X119</f>
        <v>1845</v>
      </c>
      <c r="F119" s="283">
        <f t="shared" si="13"/>
        <v>0.87316611452910553</v>
      </c>
      <c r="G119" s="262">
        <f t="shared" si="14"/>
        <v>1584.9947490347488</v>
      </c>
      <c r="H119" s="270">
        <f t="shared" si="20"/>
        <v>260.00525096525121</v>
      </c>
      <c r="I119" s="284">
        <f t="shared" si="21"/>
        <v>-27801</v>
      </c>
      <c r="J119" s="262"/>
      <c r="K119" s="271">
        <f>Données!Y119</f>
        <v>797</v>
      </c>
      <c r="L119" s="418">
        <f>Données!Z119</f>
        <v>6.5000000000000002E-2</v>
      </c>
      <c r="M119" s="262">
        <f t="shared" si="15"/>
        <v>38.225272007912956</v>
      </c>
      <c r="N119" s="284">
        <f t="shared" si="16"/>
        <v>-30466</v>
      </c>
      <c r="O119" s="262"/>
      <c r="P119" s="246">
        <f>Données!AA119</f>
        <v>267</v>
      </c>
      <c r="Q119" s="281">
        <f>Données!AB119</f>
        <v>152</v>
      </c>
      <c r="R119" s="233">
        <f t="shared" si="17"/>
        <v>289.8</v>
      </c>
      <c r="S119" s="285">
        <f t="shared" si="18"/>
        <v>0.1371509701845717</v>
      </c>
      <c r="T119" s="270">
        <f t="shared" si="19"/>
        <v>287.78282208588951</v>
      </c>
      <c r="U119" s="270">
        <f t="shared" si="22"/>
        <v>2.0171779141105048</v>
      </c>
      <c r="V119" s="284">
        <f t="shared" si="23"/>
        <v>-8627</v>
      </c>
      <c r="W119" s="337"/>
      <c r="X119" s="233">
        <f t="shared" si="24"/>
        <v>-8627</v>
      </c>
      <c r="Y119" s="250">
        <f t="shared" si="25"/>
        <v>0</v>
      </c>
    </row>
    <row r="120" spans="1:25" x14ac:dyDescent="0.25">
      <c r="A120" s="108">
        <f>Données!A120</f>
        <v>5606</v>
      </c>
      <c r="B120" s="116" t="str">
        <f>Données!B120</f>
        <v>Lutry</v>
      </c>
      <c r="C120" s="249">
        <f>Données!C120</f>
        <v>10843</v>
      </c>
      <c r="D120" s="262"/>
      <c r="E120" s="246">
        <f>Données!X120</f>
        <v>838</v>
      </c>
      <c r="F120" s="283">
        <f t="shared" si="13"/>
        <v>7.7284884257124417E-2</v>
      </c>
      <c r="G120" s="262">
        <f t="shared" si="14"/>
        <v>8133.5059459459453</v>
      </c>
      <c r="H120" s="270">
        <f t="shared" si="20"/>
        <v>0</v>
      </c>
      <c r="I120" s="284">
        <f t="shared" si="21"/>
        <v>0</v>
      </c>
      <c r="J120" s="262"/>
      <c r="K120" s="271">
        <f>Données!Y120</f>
        <v>76</v>
      </c>
      <c r="L120" s="418">
        <f>Données!Z120</f>
        <v>0.16200000000000001</v>
      </c>
      <c r="M120" s="262">
        <f t="shared" si="15"/>
        <v>95.269139465875369</v>
      </c>
      <c r="N120" s="284">
        <f t="shared" si="16"/>
        <v>-7240</v>
      </c>
      <c r="O120" s="262"/>
      <c r="P120" s="246">
        <f>Données!AA120</f>
        <v>1049</v>
      </c>
      <c r="Q120" s="281">
        <f>Données!AB120</f>
        <v>198</v>
      </c>
      <c r="R120" s="233">
        <f t="shared" si="17"/>
        <v>1078.7</v>
      </c>
      <c r="S120" s="285">
        <f t="shared" si="18"/>
        <v>9.9483537766300839E-2</v>
      </c>
      <c r="T120" s="270">
        <f t="shared" si="19"/>
        <v>1476.7766871165641</v>
      </c>
      <c r="U120" s="270">
        <f t="shared" si="22"/>
        <v>0</v>
      </c>
      <c r="V120" s="284">
        <f t="shared" si="23"/>
        <v>0</v>
      </c>
      <c r="W120" s="337"/>
      <c r="X120" s="233">
        <f t="shared" si="24"/>
        <v>0</v>
      </c>
      <c r="Y120" s="250">
        <f t="shared" si="25"/>
        <v>0</v>
      </c>
    </row>
    <row r="121" spans="1:25" x14ac:dyDescent="0.25">
      <c r="A121" s="108">
        <f>Données!A121</f>
        <v>5607</v>
      </c>
      <c r="B121" s="116" t="str">
        <f>Données!B121</f>
        <v>Puidoux</v>
      </c>
      <c r="C121" s="249">
        <f>Données!C121</f>
        <v>3014</v>
      </c>
      <c r="D121" s="262"/>
      <c r="E121" s="246">
        <f>Données!X121</f>
        <v>2223</v>
      </c>
      <c r="F121" s="283">
        <f t="shared" si="13"/>
        <v>0.73755806237558064</v>
      </c>
      <c r="G121" s="262">
        <f t="shared" si="14"/>
        <v>2260.8491119691116</v>
      </c>
      <c r="H121" s="270">
        <f t="shared" si="20"/>
        <v>0</v>
      </c>
      <c r="I121" s="284">
        <f t="shared" si="21"/>
        <v>0</v>
      </c>
      <c r="J121" s="262"/>
      <c r="K121" s="271">
        <f>Données!Y121</f>
        <v>126</v>
      </c>
      <c r="L121" s="418">
        <f>Données!Z121</f>
        <v>0.17299999999999999</v>
      </c>
      <c r="M121" s="262">
        <f t="shared" si="15"/>
        <v>101.73803165182986</v>
      </c>
      <c r="N121" s="284">
        <f t="shared" si="16"/>
        <v>-12819</v>
      </c>
      <c r="O121" s="262"/>
      <c r="P121" s="246">
        <f>Données!AA121</f>
        <v>332</v>
      </c>
      <c r="Q121" s="281">
        <f>Données!AB121</f>
        <v>100</v>
      </c>
      <c r="R121" s="233">
        <f t="shared" si="17"/>
        <v>347</v>
      </c>
      <c r="S121" s="285">
        <f t="shared" si="18"/>
        <v>0.11512939615129396</v>
      </c>
      <c r="T121" s="270">
        <f t="shared" si="19"/>
        <v>410.4957055214723</v>
      </c>
      <c r="U121" s="270">
        <f t="shared" si="22"/>
        <v>0</v>
      </c>
      <c r="V121" s="284">
        <f t="shared" si="23"/>
        <v>0</v>
      </c>
      <c r="W121" s="337"/>
      <c r="X121" s="233">
        <f t="shared" si="24"/>
        <v>0</v>
      </c>
      <c r="Y121" s="250">
        <f t="shared" si="25"/>
        <v>0</v>
      </c>
    </row>
    <row r="122" spans="1:25" x14ac:dyDescent="0.25">
      <c r="A122" s="108">
        <f>Données!A122</f>
        <v>5609</v>
      </c>
      <c r="B122" s="116" t="str">
        <f>Données!B122</f>
        <v>Rivaz</v>
      </c>
      <c r="C122" s="249">
        <f>Données!C122</f>
        <v>330</v>
      </c>
      <c r="D122" s="262"/>
      <c r="E122" s="246">
        <f>Données!X122</f>
        <v>29</v>
      </c>
      <c r="F122" s="283">
        <f t="shared" si="13"/>
        <v>8.7878787878787876E-2</v>
      </c>
      <c r="G122" s="262">
        <f t="shared" si="14"/>
        <v>247.53822393822392</v>
      </c>
      <c r="H122" s="270">
        <f t="shared" si="20"/>
        <v>0</v>
      </c>
      <c r="I122" s="284">
        <f t="shared" si="21"/>
        <v>0</v>
      </c>
      <c r="J122" s="262"/>
      <c r="K122" s="271">
        <f>Données!Y122</f>
        <v>0</v>
      </c>
      <c r="L122" s="418">
        <f>Données!Z122</f>
        <v>0.309</v>
      </c>
      <c r="M122" s="262">
        <f t="shared" si="15"/>
        <v>181.71706231454004</v>
      </c>
      <c r="N122" s="284">
        <f t="shared" si="16"/>
        <v>0</v>
      </c>
      <c r="O122" s="262"/>
      <c r="P122" s="246">
        <f>Données!AA122</f>
        <v>24</v>
      </c>
      <c r="Q122" s="281">
        <f>Données!AB122</f>
        <v>9</v>
      </c>
      <c r="R122" s="233">
        <f t="shared" si="17"/>
        <v>25.35</v>
      </c>
      <c r="S122" s="285">
        <f t="shared" si="18"/>
        <v>7.6818181818181827E-2</v>
      </c>
      <c r="T122" s="270">
        <f t="shared" si="19"/>
        <v>44.94478527607361</v>
      </c>
      <c r="U122" s="270">
        <f t="shared" si="22"/>
        <v>0</v>
      </c>
      <c r="V122" s="284">
        <f t="shared" si="23"/>
        <v>0</v>
      </c>
      <c r="W122" s="337"/>
      <c r="X122" s="233">
        <f t="shared" si="24"/>
        <v>0</v>
      </c>
      <c r="Y122" s="250">
        <f t="shared" si="25"/>
        <v>0</v>
      </c>
    </row>
    <row r="123" spans="1:25" x14ac:dyDescent="0.25">
      <c r="A123" s="108">
        <f>Données!A123</f>
        <v>5610</v>
      </c>
      <c r="B123" s="116" t="str">
        <f>Données!B123</f>
        <v>St-Saphorin (Lavaux)</v>
      </c>
      <c r="C123" s="249">
        <f>Données!C123</f>
        <v>393</v>
      </c>
      <c r="D123" s="262"/>
      <c r="E123" s="246">
        <f>Données!X123</f>
        <v>87</v>
      </c>
      <c r="F123" s="283">
        <f t="shared" si="13"/>
        <v>0.22137404580152673</v>
      </c>
      <c r="G123" s="262">
        <f t="shared" si="14"/>
        <v>294.79552123552122</v>
      </c>
      <c r="H123" s="270">
        <f t="shared" si="20"/>
        <v>0</v>
      </c>
      <c r="I123" s="284">
        <f t="shared" si="21"/>
        <v>0</v>
      </c>
      <c r="J123" s="262"/>
      <c r="K123" s="271">
        <f>Données!Y123</f>
        <v>0</v>
      </c>
      <c r="L123" s="418">
        <f>Données!Z123</f>
        <v>0.41799999999999998</v>
      </c>
      <c r="M123" s="262">
        <f t="shared" si="15"/>
        <v>245.81790306627101</v>
      </c>
      <c r="N123" s="284">
        <f t="shared" si="16"/>
        <v>0</v>
      </c>
      <c r="O123" s="262"/>
      <c r="P123" s="246">
        <f>Données!AA123</f>
        <v>30</v>
      </c>
      <c r="Q123" s="281">
        <f>Données!AB123</f>
        <v>19</v>
      </c>
      <c r="R123" s="233">
        <f t="shared" si="17"/>
        <v>32.85</v>
      </c>
      <c r="S123" s="285">
        <f t="shared" si="18"/>
        <v>8.3587786259541982E-2</v>
      </c>
      <c r="T123" s="270">
        <f t="shared" si="19"/>
        <v>53.525153374233113</v>
      </c>
      <c r="U123" s="270">
        <f t="shared" si="22"/>
        <v>0</v>
      </c>
      <c r="V123" s="284">
        <f t="shared" si="23"/>
        <v>0</v>
      </c>
      <c r="W123" s="337"/>
      <c r="X123" s="233">
        <f t="shared" si="24"/>
        <v>0</v>
      </c>
      <c r="Y123" s="250">
        <f t="shared" si="25"/>
        <v>0</v>
      </c>
    </row>
    <row r="124" spans="1:25" x14ac:dyDescent="0.25">
      <c r="A124" s="108">
        <f>Données!A124</f>
        <v>5611</v>
      </c>
      <c r="B124" s="116" t="str">
        <f>Données!B124</f>
        <v>Savigny</v>
      </c>
      <c r="C124" s="249">
        <f>Données!C124</f>
        <v>3598</v>
      </c>
      <c r="D124" s="262"/>
      <c r="E124" s="246">
        <f>Données!X124</f>
        <v>1607</v>
      </c>
      <c r="F124" s="283">
        <f t="shared" si="13"/>
        <v>0.44663702056698168</v>
      </c>
      <c r="G124" s="262">
        <f t="shared" si="14"/>
        <v>2698.9167567567565</v>
      </c>
      <c r="H124" s="270">
        <f t="shared" si="20"/>
        <v>0</v>
      </c>
      <c r="I124" s="284">
        <f t="shared" si="21"/>
        <v>0</v>
      </c>
      <c r="J124" s="262"/>
      <c r="K124" s="271">
        <f>Données!Y124</f>
        <v>3593</v>
      </c>
      <c r="L124" s="418">
        <f>Données!Z124</f>
        <v>6.0999999999999999E-2</v>
      </c>
      <c r="M124" s="262">
        <f t="shared" si="15"/>
        <v>35.87294757665677</v>
      </c>
      <c r="N124" s="284">
        <f t="shared" si="16"/>
        <v>-128892</v>
      </c>
      <c r="O124" s="262"/>
      <c r="P124" s="246">
        <f>Données!AA124</f>
        <v>445</v>
      </c>
      <c r="Q124" s="281">
        <f>Données!AB124</f>
        <v>292</v>
      </c>
      <c r="R124" s="233">
        <f t="shared" si="17"/>
        <v>488.8</v>
      </c>
      <c r="S124" s="285">
        <f t="shared" si="18"/>
        <v>0.13585325180655922</v>
      </c>
      <c r="T124" s="270">
        <f t="shared" si="19"/>
        <v>490.03435582822073</v>
      </c>
      <c r="U124" s="270">
        <f t="shared" si="22"/>
        <v>0</v>
      </c>
      <c r="V124" s="284">
        <f t="shared" si="23"/>
        <v>0</v>
      </c>
      <c r="W124" s="337"/>
      <c r="X124" s="233">
        <f t="shared" si="24"/>
        <v>0</v>
      </c>
      <c r="Y124" s="250">
        <f t="shared" si="25"/>
        <v>0</v>
      </c>
    </row>
    <row r="125" spans="1:25" x14ac:dyDescent="0.25">
      <c r="A125" s="108">
        <f>Données!A125</f>
        <v>5613</v>
      </c>
      <c r="B125" s="116" t="str">
        <f>Données!B125</f>
        <v>Bourg-en-Lavaux</v>
      </c>
      <c r="C125" s="249">
        <f>Données!C125</f>
        <v>5558</v>
      </c>
      <c r="D125" s="262"/>
      <c r="E125" s="246">
        <f>Données!X125</f>
        <v>961</v>
      </c>
      <c r="F125" s="283">
        <f t="shared" si="13"/>
        <v>0.17290392227419935</v>
      </c>
      <c r="G125" s="262">
        <f t="shared" si="14"/>
        <v>4169.1437837837839</v>
      </c>
      <c r="H125" s="270">
        <f t="shared" si="20"/>
        <v>0</v>
      </c>
      <c r="I125" s="284">
        <f t="shared" si="21"/>
        <v>0</v>
      </c>
      <c r="J125" s="262"/>
      <c r="K125" s="271">
        <f>Données!Y125</f>
        <v>183</v>
      </c>
      <c r="L125" s="418">
        <f>Données!Z125</f>
        <v>0.27900000000000003</v>
      </c>
      <c r="M125" s="262">
        <f t="shared" si="15"/>
        <v>164.07462908011871</v>
      </c>
      <c r="N125" s="284">
        <f t="shared" si="16"/>
        <v>-30026</v>
      </c>
      <c r="O125" s="262"/>
      <c r="P125" s="246">
        <f>Données!AA125</f>
        <v>516</v>
      </c>
      <c r="Q125" s="281">
        <f>Données!AB125</f>
        <v>266</v>
      </c>
      <c r="R125" s="233">
        <f t="shared" si="17"/>
        <v>555.9</v>
      </c>
      <c r="S125" s="285">
        <f t="shared" si="18"/>
        <v>0.10001799208348326</v>
      </c>
      <c r="T125" s="270">
        <f t="shared" si="19"/>
        <v>756.97914110429429</v>
      </c>
      <c r="U125" s="270">
        <f t="shared" si="22"/>
        <v>0</v>
      </c>
      <c r="V125" s="284">
        <f t="shared" si="23"/>
        <v>0</v>
      </c>
      <c r="W125" s="337"/>
      <c r="X125" s="233">
        <f t="shared" si="24"/>
        <v>0</v>
      </c>
      <c r="Y125" s="250">
        <f t="shared" si="25"/>
        <v>0</v>
      </c>
    </row>
    <row r="126" spans="1:25" x14ac:dyDescent="0.25">
      <c r="A126" s="108">
        <f>Données!A126</f>
        <v>5621</v>
      </c>
      <c r="B126" s="116" t="str">
        <f>Données!B126</f>
        <v>Aclens</v>
      </c>
      <c r="C126" s="249">
        <f>Données!C126</f>
        <v>609</v>
      </c>
      <c r="D126" s="262"/>
      <c r="E126" s="246">
        <f>Données!X126</f>
        <v>389</v>
      </c>
      <c r="F126" s="283">
        <f t="shared" si="13"/>
        <v>0.63875205254515599</v>
      </c>
      <c r="G126" s="262">
        <f t="shared" si="14"/>
        <v>456.82054054054049</v>
      </c>
      <c r="H126" s="270">
        <f t="shared" si="20"/>
        <v>0</v>
      </c>
      <c r="I126" s="284">
        <f t="shared" si="21"/>
        <v>0</v>
      </c>
      <c r="J126" s="262"/>
      <c r="K126" s="271">
        <f>Données!Y126</f>
        <v>0</v>
      </c>
      <c r="L126" s="418">
        <f>Données!Z126</f>
        <v>4.5999999999999999E-2</v>
      </c>
      <c r="M126" s="262">
        <f t="shared" si="15"/>
        <v>27.051730959446093</v>
      </c>
      <c r="N126" s="284">
        <f t="shared" si="16"/>
        <v>0</v>
      </c>
      <c r="O126" s="262"/>
      <c r="P126" s="246">
        <f>Données!AA126</f>
        <v>71</v>
      </c>
      <c r="Q126" s="281">
        <f>Données!AB126</f>
        <v>48</v>
      </c>
      <c r="R126" s="233">
        <f t="shared" si="17"/>
        <v>78.2</v>
      </c>
      <c r="S126" s="285">
        <f t="shared" si="18"/>
        <v>0.1284072249589491</v>
      </c>
      <c r="T126" s="270">
        <f t="shared" si="19"/>
        <v>82.943558282208571</v>
      </c>
      <c r="U126" s="270">
        <f t="shared" si="22"/>
        <v>0</v>
      </c>
      <c r="V126" s="284">
        <f t="shared" si="23"/>
        <v>0</v>
      </c>
      <c r="W126" s="337"/>
      <c r="X126" s="233">
        <f t="shared" si="24"/>
        <v>0</v>
      </c>
      <c r="Y126" s="250">
        <f t="shared" si="25"/>
        <v>0</v>
      </c>
    </row>
    <row r="127" spans="1:25" x14ac:dyDescent="0.25">
      <c r="A127" s="108">
        <f>Données!A127</f>
        <v>5622</v>
      </c>
      <c r="B127" s="116" t="str">
        <f>Données!B127</f>
        <v>Bremblens</v>
      </c>
      <c r="C127" s="249">
        <f>Données!C127</f>
        <v>596</v>
      </c>
      <c r="D127" s="262"/>
      <c r="E127" s="246">
        <f>Données!X127</f>
        <v>292</v>
      </c>
      <c r="F127" s="283">
        <f t="shared" si="13"/>
        <v>0.48993288590604028</v>
      </c>
      <c r="G127" s="262">
        <f t="shared" si="14"/>
        <v>447.0690347490347</v>
      </c>
      <c r="H127" s="270">
        <f t="shared" si="20"/>
        <v>0</v>
      </c>
      <c r="I127" s="284">
        <f t="shared" si="21"/>
        <v>0</v>
      </c>
      <c r="J127" s="262"/>
      <c r="K127" s="271">
        <f>Données!Y127</f>
        <v>0</v>
      </c>
      <c r="L127" s="418">
        <f>Données!Z127</f>
        <v>2.9000000000000001E-2</v>
      </c>
      <c r="M127" s="262">
        <f t="shared" si="15"/>
        <v>17.05435212660732</v>
      </c>
      <c r="N127" s="284">
        <f t="shared" si="16"/>
        <v>0</v>
      </c>
      <c r="O127" s="262"/>
      <c r="P127" s="246">
        <f>Données!AA127</f>
        <v>70</v>
      </c>
      <c r="Q127" s="281">
        <f>Données!AB127</f>
        <v>49</v>
      </c>
      <c r="R127" s="233">
        <f t="shared" si="17"/>
        <v>77.349999999999994</v>
      </c>
      <c r="S127" s="285">
        <f t="shared" si="18"/>
        <v>0.12978187919463086</v>
      </c>
      <c r="T127" s="270">
        <f t="shared" si="19"/>
        <v>81.173006134969299</v>
      </c>
      <c r="U127" s="270">
        <f t="shared" si="22"/>
        <v>0</v>
      </c>
      <c r="V127" s="284">
        <f t="shared" si="23"/>
        <v>0</v>
      </c>
      <c r="W127" s="337"/>
      <c r="X127" s="233">
        <f t="shared" si="24"/>
        <v>0</v>
      </c>
      <c r="Y127" s="250">
        <f t="shared" si="25"/>
        <v>0</v>
      </c>
    </row>
    <row r="128" spans="1:25" x14ac:dyDescent="0.25">
      <c r="A128" s="108">
        <f>Données!A128</f>
        <v>5623</v>
      </c>
      <c r="B128" s="116" t="str">
        <f>Données!B128</f>
        <v>Buchillon</v>
      </c>
      <c r="C128" s="249">
        <f>Données!C128</f>
        <v>682</v>
      </c>
      <c r="D128" s="262"/>
      <c r="E128" s="246">
        <f>Données!X128</f>
        <v>211</v>
      </c>
      <c r="F128" s="283">
        <f t="shared" si="13"/>
        <v>0.3093841642228739</v>
      </c>
      <c r="G128" s="262">
        <f t="shared" si="14"/>
        <v>511.5789961389961</v>
      </c>
      <c r="H128" s="270">
        <f t="shared" si="20"/>
        <v>0</v>
      </c>
      <c r="I128" s="284">
        <f t="shared" si="21"/>
        <v>0</v>
      </c>
      <c r="J128" s="262"/>
      <c r="K128" s="271">
        <f>Données!Y128</f>
        <v>0</v>
      </c>
      <c r="L128" s="418">
        <f>Données!Z128</f>
        <v>3.9E-2</v>
      </c>
      <c r="M128" s="262">
        <f t="shared" si="15"/>
        <v>22.935163204747774</v>
      </c>
      <c r="N128" s="284">
        <f t="shared" si="16"/>
        <v>0</v>
      </c>
      <c r="O128" s="262"/>
      <c r="P128" s="246">
        <f>Données!AA128</f>
        <v>53</v>
      </c>
      <c r="Q128" s="281">
        <f>Données!AB128</f>
        <v>24</v>
      </c>
      <c r="R128" s="233">
        <f t="shared" si="17"/>
        <v>56.6</v>
      </c>
      <c r="S128" s="285">
        <f t="shared" si="18"/>
        <v>8.2991202346041057E-2</v>
      </c>
      <c r="T128" s="270">
        <f t="shared" si="19"/>
        <v>92.885889570552123</v>
      </c>
      <c r="U128" s="270">
        <f t="shared" si="22"/>
        <v>0</v>
      </c>
      <c r="V128" s="284">
        <f t="shared" si="23"/>
        <v>0</v>
      </c>
      <c r="W128" s="337"/>
      <c r="X128" s="233">
        <f t="shared" si="24"/>
        <v>0</v>
      </c>
      <c r="Y128" s="250">
        <f t="shared" si="25"/>
        <v>0</v>
      </c>
    </row>
    <row r="129" spans="1:25" x14ac:dyDescent="0.25">
      <c r="A129" s="108">
        <f>Données!A129</f>
        <v>5624</v>
      </c>
      <c r="B129" s="116" t="str">
        <f>Données!B129</f>
        <v>Bussigny</v>
      </c>
      <c r="C129" s="249">
        <f>Données!C129</f>
        <v>12138</v>
      </c>
      <c r="D129" s="262"/>
      <c r="E129" s="246">
        <f>Données!X129</f>
        <v>474</v>
      </c>
      <c r="F129" s="283">
        <f t="shared" si="13"/>
        <v>3.9050914483440433E-2</v>
      </c>
      <c r="G129" s="262">
        <f t="shared" si="14"/>
        <v>9104.9059459459459</v>
      </c>
      <c r="H129" s="270">
        <f t="shared" si="20"/>
        <v>0</v>
      </c>
      <c r="I129" s="284">
        <f t="shared" si="21"/>
        <v>0</v>
      </c>
      <c r="J129" s="262"/>
      <c r="K129" s="271">
        <f>Données!Y129</f>
        <v>0</v>
      </c>
      <c r="L129" s="418">
        <f>Données!Z129</f>
        <v>5.8000000000000003E-2</v>
      </c>
      <c r="M129" s="262">
        <f t="shared" si="15"/>
        <v>34.10870425321464</v>
      </c>
      <c r="N129" s="284">
        <f t="shared" si="16"/>
        <v>0</v>
      </c>
      <c r="O129" s="262"/>
      <c r="P129" s="246">
        <f>Données!AA129</f>
        <v>1512</v>
      </c>
      <c r="Q129" s="281">
        <f>Données!AB129</f>
        <v>45</v>
      </c>
      <c r="R129" s="233">
        <f t="shared" si="17"/>
        <v>1518.75</v>
      </c>
      <c r="S129" s="285">
        <f t="shared" si="18"/>
        <v>0.12512357884330202</v>
      </c>
      <c r="T129" s="270">
        <f t="shared" si="19"/>
        <v>1653.1509202453983</v>
      </c>
      <c r="U129" s="270">
        <f t="shared" si="22"/>
        <v>0</v>
      </c>
      <c r="V129" s="284">
        <f t="shared" si="23"/>
        <v>0</v>
      </c>
      <c r="W129" s="337"/>
      <c r="X129" s="233">
        <f t="shared" si="24"/>
        <v>0</v>
      </c>
      <c r="Y129" s="250">
        <f t="shared" si="25"/>
        <v>0</v>
      </c>
    </row>
    <row r="130" spans="1:25" x14ac:dyDescent="0.25">
      <c r="A130" s="108">
        <f>Données!A130</f>
        <v>5627</v>
      </c>
      <c r="B130" s="116" t="str">
        <f>Données!B130</f>
        <v>Chavannes-près-Renens</v>
      </c>
      <c r="C130" s="249">
        <f>Données!C130</f>
        <v>10735</v>
      </c>
      <c r="D130" s="262"/>
      <c r="E130" s="246">
        <f>Données!X130</f>
        <v>165</v>
      </c>
      <c r="F130" s="283">
        <f t="shared" si="13"/>
        <v>1.5370284117373078E-2</v>
      </c>
      <c r="G130" s="262">
        <f t="shared" si="14"/>
        <v>8052.4934362934355</v>
      </c>
      <c r="H130" s="270">
        <f t="shared" si="20"/>
        <v>0</v>
      </c>
      <c r="I130" s="284">
        <f t="shared" si="21"/>
        <v>0</v>
      </c>
      <c r="J130" s="262"/>
      <c r="K130" s="271">
        <f>Données!Y130</f>
        <v>0</v>
      </c>
      <c r="L130" s="418">
        <f>Données!Z130</f>
        <v>7.3999999999999996E-2</v>
      </c>
      <c r="M130" s="262">
        <f t="shared" si="15"/>
        <v>43.518001978239361</v>
      </c>
      <c r="N130" s="284">
        <f t="shared" si="16"/>
        <v>0</v>
      </c>
      <c r="O130" s="262"/>
      <c r="P130" s="246">
        <f>Données!AA130</f>
        <v>1066</v>
      </c>
      <c r="Q130" s="281">
        <f>Données!AB130</f>
        <v>12</v>
      </c>
      <c r="R130" s="233">
        <f t="shared" si="17"/>
        <v>1067.8</v>
      </c>
      <c r="S130" s="285">
        <f t="shared" si="18"/>
        <v>9.9469026548672568E-2</v>
      </c>
      <c r="T130" s="270">
        <f t="shared" si="19"/>
        <v>1462.0674846625764</v>
      </c>
      <c r="U130" s="270">
        <f t="shared" si="22"/>
        <v>0</v>
      </c>
      <c r="V130" s="284">
        <f t="shared" si="23"/>
        <v>0</v>
      </c>
      <c r="W130" s="337"/>
      <c r="X130" s="233">
        <f t="shared" si="24"/>
        <v>0</v>
      </c>
      <c r="Y130" s="250">
        <f t="shared" si="25"/>
        <v>0</v>
      </c>
    </row>
    <row r="131" spans="1:25" x14ac:dyDescent="0.25">
      <c r="A131" s="108">
        <f>Données!A131</f>
        <v>5628</v>
      </c>
      <c r="B131" s="116" t="str">
        <f>Données!B131</f>
        <v>Chigny</v>
      </c>
      <c r="C131" s="249">
        <f>Données!C131</f>
        <v>410</v>
      </c>
      <c r="D131" s="262"/>
      <c r="E131" s="246">
        <f>Données!X131</f>
        <v>86</v>
      </c>
      <c r="F131" s="283">
        <f t="shared" si="13"/>
        <v>0.2097560975609756</v>
      </c>
      <c r="G131" s="262">
        <f t="shared" si="14"/>
        <v>307.54749034749034</v>
      </c>
      <c r="H131" s="270">
        <f t="shared" si="20"/>
        <v>0</v>
      </c>
      <c r="I131" s="284">
        <f t="shared" si="21"/>
        <v>0</v>
      </c>
      <c r="J131" s="262"/>
      <c r="K131" s="271">
        <f>Données!Y131</f>
        <v>0</v>
      </c>
      <c r="L131" s="418">
        <f>Données!Z131</f>
        <v>5.5E-2</v>
      </c>
      <c r="M131" s="262">
        <f t="shared" si="15"/>
        <v>32.344460929772502</v>
      </c>
      <c r="N131" s="284">
        <f t="shared" si="16"/>
        <v>0</v>
      </c>
      <c r="O131" s="262"/>
      <c r="P131" s="246">
        <f>Données!AA131</f>
        <v>56</v>
      </c>
      <c r="Q131" s="281">
        <f>Données!AB131</f>
        <v>4</v>
      </c>
      <c r="R131" s="233">
        <f t="shared" si="17"/>
        <v>56.6</v>
      </c>
      <c r="S131" s="285">
        <f t="shared" si="18"/>
        <v>0.13804878048780489</v>
      </c>
      <c r="T131" s="270">
        <f t="shared" si="19"/>
        <v>55.840490797545996</v>
      </c>
      <c r="U131" s="270">
        <f t="shared" si="22"/>
        <v>0.75950920245400511</v>
      </c>
      <c r="V131" s="284">
        <f t="shared" si="23"/>
        <v>-3248</v>
      </c>
      <c r="W131" s="337"/>
      <c r="X131" s="233">
        <f t="shared" si="24"/>
        <v>-2566.1721068249258</v>
      </c>
      <c r="Y131" s="250">
        <f t="shared" si="25"/>
        <v>-681.82789317507422</v>
      </c>
    </row>
    <row r="132" spans="1:25" x14ac:dyDescent="0.25">
      <c r="A132" s="108">
        <f>Données!A132</f>
        <v>5629</v>
      </c>
      <c r="B132" s="116" t="str">
        <f>Données!B132</f>
        <v>Clarmont</v>
      </c>
      <c r="C132" s="249">
        <f>Données!C132</f>
        <v>232</v>
      </c>
      <c r="D132" s="262"/>
      <c r="E132" s="246">
        <f>Données!X132</f>
        <v>101</v>
      </c>
      <c r="F132" s="283">
        <f t="shared" si="13"/>
        <v>0.43534482758620691</v>
      </c>
      <c r="G132" s="262">
        <f t="shared" si="14"/>
        <v>174.02687258687257</v>
      </c>
      <c r="H132" s="270">
        <f t="shared" si="20"/>
        <v>0</v>
      </c>
      <c r="I132" s="284">
        <f t="shared" si="21"/>
        <v>0</v>
      </c>
      <c r="J132" s="262"/>
      <c r="K132" s="271">
        <f>Données!Y132</f>
        <v>0</v>
      </c>
      <c r="L132" s="418">
        <f>Données!Z132</f>
        <v>4.3999999999999997E-2</v>
      </c>
      <c r="M132" s="262">
        <f t="shared" si="15"/>
        <v>25.875568743818</v>
      </c>
      <c r="N132" s="284">
        <f t="shared" si="16"/>
        <v>0</v>
      </c>
      <c r="O132" s="262"/>
      <c r="P132" s="246">
        <f>Données!AA132</f>
        <v>24</v>
      </c>
      <c r="Q132" s="281">
        <f>Données!AB132</f>
        <v>1</v>
      </c>
      <c r="R132" s="233">
        <f t="shared" si="17"/>
        <v>24.15</v>
      </c>
      <c r="S132" s="285">
        <f t="shared" si="18"/>
        <v>0.10409482758620689</v>
      </c>
      <c r="T132" s="270">
        <f t="shared" si="19"/>
        <v>31.59754601226993</v>
      </c>
      <c r="U132" s="270">
        <f t="shared" si="22"/>
        <v>0</v>
      </c>
      <c r="V132" s="284">
        <f t="shared" si="23"/>
        <v>0</v>
      </c>
      <c r="W132" s="337"/>
      <c r="X132" s="233">
        <f t="shared" si="24"/>
        <v>0</v>
      </c>
      <c r="Y132" s="250">
        <f t="shared" si="25"/>
        <v>0</v>
      </c>
    </row>
    <row r="133" spans="1:25" x14ac:dyDescent="0.25">
      <c r="A133" s="108">
        <f>Données!A133</f>
        <v>5631</v>
      </c>
      <c r="B133" s="116" t="str">
        <f>Données!B133</f>
        <v>Denens</v>
      </c>
      <c r="C133" s="249">
        <f>Données!C133</f>
        <v>748</v>
      </c>
      <c r="D133" s="262"/>
      <c r="E133" s="246">
        <f>Données!X133</f>
        <v>329</v>
      </c>
      <c r="F133" s="283">
        <f t="shared" si="13"/>
        <v>0.43983957219251335</v>
      </c>
      <c r="G133" s="262">
        <f t="shared" si="14"/>
        <v>561.08664092664083</v>
      </c>
      <c r="H133" s="270">
        <f t="shared" si="20"/>
        <v>0</v>
      </c>
      <c r="I133" s="284">
        <f t="shared" si="21"/>
        <v>0</v>
      </c>
      <c r="J133" s="262"/>
      <c r="K133" s="271">
        <f>Données!Y133</f>
        <v>0</v>
      </c>
      <c r="L133" s="418">
        <f>Données!Z133</f>
        <v>4.0000000000000001E-3</v>
      </c>
      <c r="M133" s="262">
        <f t="shared" si="15"/>
        <v>2.3523244312561822</v>
      </c>
      <c r="N133" s="284">
        <f t="shared" si="16"/>
        <v>0</v>
      </c>
      <c r="O133" s="262"/>
      <c r="P133" s="246">
        <f>Données!AA133</f>
        <v>75</v>
      </c>
      <c r="Q133" s="281">
        <f>Données!AB133</f>
        <v>57</v>
      </c>
      <c r="R133" s="233">
        <f t="shared" si="17"/>
        <v>83.55</v>
      </c>
      <c r="S133" s="285">
        <f t="shared" si="18"/>
        <v>0.11169786096256684</v>
      </c>
      <c r="T133" s="270">
        <f t="shared" si="19"/>
        <v>101.87484662576685</v>
      </c>
      <c r="U133" s="270">
        <f t="shared" si="22"/>
        <v>0</v>
      </c>
      <c r="V133" s="284">
        <f t="shared" si="23"/>
        <v>0</v>
      </c>
      <c r="W133" s="337"/>
      <c r="X133" s="233">
        <f t="shared" si="24"/>
        <v>0</v>
      </c>
      <c r="Y133" s="250">
        <f t="shared" si="25"/>
        <v>0</v>
      </c>
    </row>
    <row r="134" spans="1:25" x14ac:dyDescent="0.25">
      <c r="A134" s="108">
        <f>Données!A134</f>
        <v>5632</v>
      </c>
      <c r="B134" s="116" t="str">
        <f>Données!B134</f>
        <v>Denges</v>
      </c>
      <c r="C134" s="249">
        <f>Données!C134</f>
        <v>1844</v>
      </c>
      <c r="D134" s="262"/>
      <c r="E134" s="246">
        <f>Données!X134</f>
        <v>166</v>
      </c>
      <c r="F134" s="283">
        <f t="shared" ref="F134:F196" si="26">E134/C134</f>
        <v>9.0021691973969628E-2</v>
      </c>
      <c r="G134" s="262">
        <f t="shared" ref="G134:G196" si="27">C134*$I$4</f>
        <v>1383.2135907335905</v>
      </c>
      <c r="H134" s="270">
        <f t="shared" si="20"/>
        <v>0</v>
      </c>
      <c r="I134" s="284">
        <f t="shared" si="21"/>
        <v>0</v>
      </c>
      <c r="J134" s="262"/>
      <c r="K134" s="271">
        <f>Données!Y134</f>
        <v>0</v>
      </c>
      <c r="L134" s="418">
        <f>Données!Z134</f>
        <v>4.1000000000000002E-2</v>
      </c>
      <c r="M134" s="262">
        <f t="shared" ref="M134:M196" si="28">L134*$N$5</f>
        <v>24.111325420375866</v>
      </c>
      <c r="N134" s="284">
        <f t="shared" ref="N134:N196" si="29">ROUND(-M134*K134,0)</f>
        <v>0</v>
      </c>
      <c r="O134" s="262"/>
      <c r="P134" s="246">
        <f>Données!AA134</f>
        <v>177</v>
      </c>
      <c r="Q134" s="281">
        <f>Données!AB134</f>
        <v>6</v>
      </c>
      <c r="R134" s="233">
        <f t="shared" ref="R134:R196" si="30">P134*$P$6+Q134*$Q$6</f>
        <v>177.9</v>
      </c>
      <c r="S134" s="285">
        <f t="shared" ref="S134:S196" si="31">R134/C134</f>
        <v>9.6475054229934923E-2</v>
      </c>
      <c r="T134" s="270">
        <f t="shared" ref="T134:T196" si="32">$V$4*C134</f>
        <v>251.14601226993858</v>
      </c>
      <c r="U134" s="270">
        <f t="shared" si="22"/>
        <v>0</v>
      </c>
      <c r="V134" s="284">
        <f t="shared" si="23"/>
        <v>0</v>
      </c>
      <c r="W134" s="337"/>
      <c r="X134" s="233">
        <f t="shared" si="24"/>
        <v>0</v>
      </c>
      <c r="Y134" s="250">
        <f t="shared" si="25"/>
        <v>0</v>
      </c>
    </row>
    <row r="135" spans="1:25" x14ac:dyDescent="0.25">
      <c r="A135" s="108">
        <f>Données!A135</f>
        <v>5633</v>
      </c>
      <c r="B135" s="116" t="str">
        <f>Données!B135</f>
        <v>Echandens</v>
      </c>
      <c r="C135" s="249">
        <f>Données!C135</f>
        <v>3116</v>
      </c>
      <c r="D135" s="262"/>
      <c r="E135" s="246">
        <f>Données!X135</f>
        <v>384</v>
      </c>
      <c r="F135" s="283">
        <f t="shared" si="26"/>
        <v>0.12323491655969192</v>
      </c>
      <c r="G135" s="262">
        <f t="shared" si="27"/>
        <v>2337.3609266409267</v>
      </c>
      <c r="H135" s="270">
        <f t="shared" ref="H135:H197" si="33">IF(E135&gt;G135,E135-G135,0)</f>
        <v>0</v>
      </c>
      <c r="I135" s="284">
        <f t="shared" ref="I135:I197" si="34">ROUND(-H135*$I$5,0)</f>
        <v>0</v>
      </c>
      <c r="J135" s="262"/>
      <c r="K135" s="271">
        <f>Données!Y135</f>
        <v>0</v>
      </c>
      <c r="L135" s="418">
        <f>Données!Z135</f>
        <v>4.5999999999999999E-2</v>
      </c>
      <c r="M135" s="262">
        <f t="shared" si="28"/>
        <v>27.051730959446093</v>
      </c>
      <c r="N135" s="284">
        <f t="shared" si="29"/>
        <v>0</v>
      </c>
      <c r="O135" s="262"/>
      <c r="P135" s="246">
        <f>Données!AA135</f>
        <v>232</v>
      </c>
      <c r="Q135" s="281">
        <f>Données!AB135</f>
        <v>81</v>
      </c>
      <c r="R135" s="233">
        <f t="shared" si="30"/>
        <v>244.15</v>
      </c>
      <c r="S135" s="285">
        <f t="shared" si="31"/>
        <v>7.8353658536585366E-2</v>
      </c>
      <c r="T135" s="270">
        <f t="shared" si="32"/>
        <v>424.3877300613496</v>
      </c>
      <c r="U135" s="270">
        <f t="shared" ref="U135:U197" si="35">IF(R135&gt;T135,R135-T135,0)</f>
        <v>0</v>
      </c>
      <c r="V135" s="284">
        <f t="shared" ref="V135:V197" si="36">ROUND(-$V$5*U135,0)</f>
        <v>0</v>
      </c>
      <c r="W135" s="337"/>
      <c r="X135" s="233">
        <f t="shared" ref="X135:X197" si="37">IF(-Q135*$Q$6*$V$5&gt;V135,-Q135*$Q$6*$V$5,V135)</f>
        <v>0</v>
      </c>
      <c r="Y135" s="250">
        <f t="shared" ref="Y135:Y197" si="38">IF(X135&gt;V135,V135-X135,0)</f>
        <v>0</v>
      </c>
    </row>
    <row r="136" spans="1:25" x14ac:dyDescent="0.25">
      <c r="A136" s="108">
        <f>Données!A136</f>
        <v>5634</v>
      </c>
      <c r="B136" s="116" t="str">
        <f>Données!B136</f>
        <v>Echichens</v>
      </c>
      <c r="C136" s="249">
        <f>Données!C136</f>
        <v>3241</v>
      </c>
      <c r="D136" s="262"/>
      <c r="E136" s="246">
        <f>Données!X136</f>
        <v>1325</v>
      </c>
      <c r="F136" s="283">
        <f t="shared" si="26"/>
        <v>0.40882443690219067</v>
      </c>
      <c r="G136" s="262">
        <f t="shared" si="27"/>
        <v>2431.1254054054052</v>
      </c>
      <c r="H136" s="270">
        <f t="shared" si="33"/>
        <v>0</v>
      </c>
      <c r="I136" s="284">
        <f t="shared" si="34"/>
        <v>0</v>
      </c>
      <c r="J136" s="262"/>
      <c r="K136" s="271">
        <f>Données!Y136</f>
        <v>0</v>
      </c>
      <c r="L136" s="418">
        <f>Données!Z136</f>
        <v>2.1999999999999999E-2</v>
      </c>
      <c r="M136" s="262">
        <f t="shared" si="28"/>
        <v>12.937784371909</v>
      </c>
      <c r="N136" s="284">
        <f t="shared" si="29"/>
        <v>0</v>
      </c>
      <c r="O136" s="262"/>
      <c r="P136" s="246">
        <f>Données!AA136</f>
        <v>421</v>
      </c>
      <c r="Q136" s="281">
        <f>Données!AB136</f>
        <v>167</v>
      </c>
      <c r="R136" s="233">
        <f t="shared" si="30"/>
        <v>446.05</v>
      </c>
      <c r="S136" s="285">
        <f t="shared" si="31"/>
        <v>0.13762727553224313</v>
      </c>
      <c r="T136" s="270">
        <f t="shared" si="32"/>
        <v>441.41226993865018</v>
      </c>
      <c r="U136" s="270">
        <f t="shared" si="35"/>
        <v>4.6377300613498278</v>
      </c>
      <c r="V136" s="284">
        <f t="shared" si="36"/>
        <v>-19835</v>
      </c>
      <c r="W136" s="337"/>
      <c r="X136" s="233">
        <f t="shared" si="37"/>
        <v>-19835</v>
      </c>
      <c r="Y136" s="250">
        <f t="shared" si="38"/>
        <v>0</v>
      </c>
    </row>
    <row r="137" spans="1:25" x14ac:dyDescent="0.25">
      <c r="A137" s="108">
        <f>Données!A137</f>
        <v>5635</v>
      </c>
      <c r="B137" s="116" t="str">
        <f>Données!B137</f>
        <v>Ecublens</v>
      </c>
      <c r="C137" s="249">
        <f>Données!C137</f>
        <v>13758</v>
      </c>
      <c r="D137" s="262"/>
      <c r="E137" s="246">
        <f>Données!X137</f>
        <v>565</v>
      </c>
      <c r="F137" s="283">
        <f t="shared" si="26"/>
        <v>4.1067015554586424E-2</v>
      </c>
      <c r="G137" s="262">
        <f t="shared" si="27"/>
        <v>10320.09359073359</v>
      </c>
      <c r="H137" s="270">
        <f t="shared" si="33"/>
        <v>0</v>
      </c>
      <c r="I137" s="284">
        <f t="shared" si="34"/>
        <v>0</v>
      </c>
      <c r="J137" s="262"/>
      <c r="K137" s="271">
        <f>Données!Y137</f>
        <v>0</v>
      </c>
      <c r="L137" s="418">
        <f>Données!Z137</f>
        <v>5.6000000000000001E-2</v>
      </c>
      <c r="M137" s="262">
        <f t="shared" si="28"/>
        <v>32.932542037586551</v>
      </c>
      <c r="N137" s="284">
        <f t="shared" si="29"/>
        <v>0</v>
      </c>
      <c r="O137" s="262"/>
      <c r="P137" s="246">
        <f>Données!AA137</f>
        <v>1425</v>
      </c>
      <c r="Q137" s="281">
        <f>Données!AB137</f>
        <v>31</v>
      </c>
      <c r="R137" s="233">
        <f t="shared" si="30"/>
        <v>1429.65</v>
      </c>
      <c r="S137" s="285">
        <f t="shared" si="31"/>
        <v>0.10391408634976014</v>
      </c>
      <c r="T137" s="270">
        <f t="shared" si="32"/>
        <v>1873.7889570552143</v>
      </c>
      <c r="U137" s="270">
        <f t="shared" si="35"/>
        <v>0</v>
      </c>
      <c r="V137" s="284">
        <f t="shared" si="36"/>
        <v>0</v>
      </c>
      <c r="W137" s="337"/>
      <c r="X137" s="233">
        <f t="shared" si="37"/>
        <v>0</v>
      </c>
      <c r="Y137" s="250">
        <f t="shared" si="38"/>
        <v>0</v>
      </c>
    </row>
    <row r="138" spans="1:25" x14ac:dyDescent="0.25">
      <c r="A138" s="108">
        <f>Données!A138</f>
        <v>5636</v>
      </c>
      <c r="B138" s="116" t="str">
        <f>Données!B138</f>
        <v>Etoy</v>
      </c>
      <c r="C138" s="249">
        <f>Données!C138</f>
        <v>3013</v>
      </c>
      <c r="D138" s="262"/>
      <c r="E138" s="246">
        <f>Données!X138</f>
        <v>490</v>
      </c>
      <c r="F138" s="283">
        <f t="shared" si="26"/>
        <v>0.16262860935944243</v>
      </c>
      <c r="G138" s="262">
        <f t="shared" si="27"/>
        <v>2260.098996138996</v>
      </c>
      <c r="H138" s="270">
        <f t="shared" si="33"/>
        <v>0</v>
      </c>
      <c r="I138" s="284">
        <f t="shared" si="34"/>
        <v>0</v>
      </c>
      <c r="J138" s="262"/>
      <c r="K138" s="271">
        <f>Données!Y138</f>
        <v>0</v>
      </c>
      <c r="L138" s="418">
        <f>Données!Z138</f>
        <v>2.7E-2</v>
      </c>
      <c r="M138" s="262">
        <f t="shared" si="28"/>
        <v>15.878189910979227</v>
      </c>
      <c r="N138" s="284">
        <f t="shared" si="29"/>
        <v>0</v>
      </c>
      <c r="O138" s="262"/>
      <c r="P138" s="246">
        <f>Données!AA138</f>
        <v>286</v>
      </c>
      <c r="Q138" s="281">
        <f>Données!AB138</f>
        <v>98</v>
      </c>
      <c r="R138" s="233">
        <f t="shared" si="30"/>
        <v>300.7</v>
      </c>
      <c r="S138" s="285">
        <f t="shared" si="31"/>
        <v>9.9800862927314965E-2</v>
      </c>
      <c r="T138" s="270">
        <f t="shared" si="32"/>
        <v>410.35950920245386</v>
      </c>
      <c r="U138" s="270">
        <f t="shared" si="35"/>
        <v>0</v>
      </c>
      <c r="V138" s="284">
        <f t="shared" si="36"/>
        <v>0</v>
      </c>
      <c r="W138" s="337"/>
      <c r="X138" s="233">
        <f t="shared" si="37"/>
        <v>0</v>
      </c>
      <c r="Y138" s="250">
        <f t="shared" si="38"/>
        <v>0</v>
      </c>
    </row>
    <row r="139" spans="1:25" x14ac:dyDescent="0.25">
      <c r="A139" s="108">
        <f>Données!A139</f>
        <v>5637</v>
      </c>
      <c r="B139" s="116" t="str">
        <f>Données!B139</f>
        <v>Lavigny</v>
      </c>
      <c r="C139" s="249">
        <f>Données!C139</f>
        <v>1108</v>
      </c>
      <c r="D139" s="262"/>
      <c r="E139" s="246">
        <f>Données!X139</f>
        <v>395</v>
      </c>
      <c r="F139" s="283">
        <f t="shared" si="26"/>
        <v>0.35649819494584839</v>
      </c>
      <c r="G139" s="262">
        <f t="shared" si="27"/>
        <v>831.12833976833974</v>
      </c>
      <c r="H139" s="270">
        <f t="shared" si="33"/>
        <v>0</v>
      </c>
      <c r="I139" s="284">
        <f t="shared" si="34"/>
        <v>0</v>
      </c>
      <c r="J139" s="262"/>
      <c r="K139" s="271">
        <f>Données!Y139</f>
        <v>0</v>
      </c>
      <c r="L139" s="418">
        <f>Données!Z139</f>
        <v>4.7E-2</v>
      </c>
      <c r="M139" s="262">
        <f t="shared" si="28"/>
        <v>27.639812067260138</v>
      </c>
      <c r="N139" s="284">
        <f t="shared" si="29"/>
        <v>0</v>
      </c>
      <c r="O139" s="262"/>
      <c r="P139" s="246">
        <f>Données!AA139</f>
        <v>136</v>
      </c>
      <c r="Q139" s="281">
        <f>Données!AB139</f>
        <v>47</v>
      </c>
      <c r="R139" s="233">
        <f t="shared" si="30"/>
        <v>143.05000000000001</v>
      </c>
      <c r="S139" s="285">
        <f t="shared" si="31"/>
        <v>0.12910649819494585</v>
      </c>
      <c r="T139" s="270">
        <f t="shared" si="32"/>
        <v>150.90552147239259</v>
      </c>
      <c r="U139" s="270">
        <f t="shared" si="35"/>
        <v>0</v>
      </c>
      <c r="V139" s="284">
        <f t="shared" si="36"/>
        <v>0</v>
      </c>
      <c r="W139" s="337"/>
      <c r="X139" s="233">
        <f t="shared" si="37"/>
        <v>0</v>
      </c>
      <c r="Y139" s="250">
        <f t="shared" si="38"/>
        <v>0</v>
      </c>
    </row>
    <row r="140" spans="1:25" x14ac:dyDescent="0.25">
      <c r="A140" s="108">
        <f>Données!A140</f>
        <v>5638</v>
      </c>
      <c r="B140" s="116" t="str">
        <f>Données!B140</f>
        <v>Lonay</v>
      </c>
      <c r="C140" s="249">
        <f>Données!C140</f>
        <v>2719</v>
      </c>
      <c r="D140" s="262"/>
      <c r="E140" s="246">
        <f>Données!X140</f>
        <v>369</v>
      </c>
      <c r="F140" s="283">
        <f t="shared" si="26"/>
        <v>0.13571165869805074</v>
      </c>
      <c r="G140" s="262">
        <f t="shared" si="27"/>
        <v>2039.564942084942</v>
      </c>
      <c r="H140" s="270">
        <f t="shared" si="33"/>
        <v>0</v>
      </c>
      <c r="I140" s="284">
        <f t="shared" si="34"/>
        <v>0</v>
      </c>
      <c r="J140" s="262"/>
      <c r="K140" s="271">
        <f>Données!Y140</f>
        <v>0</v>
      </c>
      <c r="L140" s="418">
        <f>Données!Z140</f>
        <v>0.04</v>
      </c>
      <c r="M140" s="262">
        <f t="shared" si="28"/>
        <v>23.523244312561818</v>
      </c>
      <c r="N140" s="284">
        <f t="shared" si="29"/>
        <v>0</v>
      </c>
      <c r="O140" s="262"/>
      <c r="P140" s="246">
        <f>Données!AA140</f>
        <v>247</v>
      </c>
      <c r="Q140" s="281">
        <f>Données!AB140</f>
        <v>8</v>
      </c>
      <c r="R140" s="233">
        <f t="shared" si="30"/>
        <v>248.2</v>
      </c>
      <c r="S140" s="285">
        <f t="shared" si="31"/>
        <v>9.1283560132401617E-2</v>
      </c>
      <c r="T140" s="270">
        <f t="shared" si="32"/>
        <v>370.31779141104283</v>
      </c>
      <c r="U140" s="270">
        <f t="shared" si="35"/>
        <v>0</v>
      </c>
      <c r="V140" s="284">
        <f t="shared" si="36"/>
        <v>0</v>
      </c>
      <c r="W140" s="337"/>
      <c r="X140" s="233">
        <f t="shared" si="37"/>
        <v>0</v>
      </c>
      <c r="Y140" s="250">
        <f t="shared" si="38"/>
        <v>0</v>
      </c>
    </row>
    <row r="141" spans="1:25" x14ac:dyDescent="0.25">
      <c r="A141" s="108">
        <f>Données!A141</f>
        <v>5639</v>
      </c>
      <c r="B141" s="116" t="str">
        <f>Données!B141</f>
        <v>Lully</v>
      </c>
      <c r="C141" s="249">
        <f>Données!C141</f>
        <v>824</v>
      </c>
      <c r="D141" s="262"/>
      <c r="E141" s="246">
        <f>Données!X141</f>
        <v>203</v>
      </c>
      <c r="F141" s="283">
        <f t="shared" si="26"/>
        <v>0.24635922330097088</v>
      </c>
      <c r="G141" s="262">
        <f t="shared" si="27"/>
        <v>618.09544401544395</v>
      </c>
      <c r="H141" s="270">
        <f t="shared" si="33"/>
        <v>0</v>
      </c>
      <c r="I141" s="284">
        <f t="shared" si="34"/>
        <v>0</v>
      </c>
      <c r="J141" s="262"/>
      <c r="K141" s="271">
        <f>Données!Y141</f>
        <v>0</v>
      </c>
      <c r="L141" s="418">
        <f>Données!Z141</f>
        <v>5.3999999999999999E-2</v>
      </c>
      <c r="M141" s="262">
        <f t="shared" si="28"/>
        <v>31.756379821958454</v>
      </c>
      <c r="N141" s="284">
        <f t="shared" si="29"/>
        <v>0</v>
      </c>
      <c r="O141" s="262"/>
      <c r="P141" s="246">
        <f>Données!AA141</f>
        <v>109</v>
      </c>
      <c r="Q141" s="281">
        <f>Données!AB141</f>
        <v>34</v>
      </c>
      <c r="R141" s="233">
        <f t="shared" si="30"/>
        <v>114.1</v>
      </c>
      <c r="S141" s="285">
        <f t="shared" si="31"/>
        <v>0.13847087378640777</v>
      </c>
      <c r="T141" s="270">
        <f t="shared" si="32"/>
        <v>112.22576687116562</v>
      </c>
      <c r="U141" s="270">
        <f t="shared" si="35"/>
        <v>1.8742331288343763</v>
      </c>
      <c r="V141" s="284">
        <f t="shared" si="36"/>
        <v>-8016</v>
      </c>
      <c r="W141" s="337"/>
      <c r="X141" s="233">
        <f t="shared" si="37"/>
        <v>-8016</v>
      </c>
      <c r="Y141" s="250">
        <f t="shared" si="38"/>
        <v>0</v>
      </c>
    </row>
    <row r="142" spans="1:25" x14ac:dyDescent="0.25">
      <c r="A142" s="108">
        <f>Données!A142</f>
        <v>5640</v>
      </c>
      <c r="B142" s="116" t="str">
        <f>Données!B142</f>
        <v>Lussy-sur-Morges</v>
      </c>
      <c r="C142" s="249">
        <f>Données!C142</f>
        <v>721</v>
      </c>
      <c r="D142" s="262"/>
      <c r="E142" s="246">
        <f>Données!X142</f>
        <v>235</v>
      </c>
      <c r="F142" s="283">
        <f t="shared" si="26"/>
        <v>0.32593619972260751</v>
      </c>
      <c r="G142" s="262">
        <f t="shared" si="27"/>
        <v>540.83351351351348</v>
      </c>
      <c r="H142" s="270">
        <f t="shared" si="33"/>
        <v>0</v>
      </c>
      <c r="I142" s="284">
        <f t="shared" si="34"/>
        <v>0</v>
      </c>
      <c r="J142" s="262"/>
      <c r="K142" s="271">
        <f>Données!Y142</f>
        <v>0</v>
      </c>
      <c r="L142" s="418">
        <f>Données!Z142</f>
        <v>3.6999999999999998E-2</v>
      </c>
      <c r="M142" s="262">
        <f t="shared" si="28"/>
        <v>21.759000989119681</v>
      </c>
      <c r="N142" s="284">
        <f t="shared" si="29"/>
        <v>0</v>
      </c>
      <c r="O142" s="262"/>
      <c r="P142" s="246">
        <f>Données!AA142</f>
        <v>103</v>
      </c>
      <c r="Q142" s="281">
        <f>Données!AB142</f>
        <v>86</v>
      </c>
      <c r="R142" s="233">
        <f t="shared" si="30"/>
        <v>115.9</v>
      </c>
      <c r="S142" s="285">
        <f t="shared" si="31"/>
        <v>0.16074895977808601</v>
      </c>
      <c r="T142" s="270">
        <f t="shared" si="32"/>
        <v>98.19754601226991</v>
      </c>
      <c r="U142" s="270">
        <f t="shared" si="35"/>
        <v>17.702453987730095</v>
      </c>
      <c r="V142" s="284">
        <f t="shared" si="36"/>
        <v>-75713</v>
      </c>
      <c r="W142" s="337"/>
      <c r="X142" s="233">
        <f t="shared" si="37"/>
        <v>-55172.7002967359</v>
      </c>
      <c r="Y142" s="250">
        <f t="shared" si="38"/>
        <v>-20540.2997032641</v>
      </c>
    </row>
    <row r="143" spans="1:25" x14ac:dyDescent="0.25">
      <c r="A143" s="108">
        <f>Données!A143</f>
        <v>5642</v>
      </c>
      <c r="B143" s="116" t="str">
        <f>Données!B143</f>
        <v>Morges</v>
      </c>
      <c r="C143" s="249">
        <f>Données!C143</f>
        <v>17813</v>
      </c>
      <c r="D143" s="262"/>
      <c r="E143" s="246">
        <f>Données!X143</f>
        <v>385</v>
      </c>
      <c r="F143" s="283">
        <f t="shared" si="26"/>
        <v>2.1613428394992421E-2</v>
      </c>
      <c r="G143" s="262">
        <f t="shared" si="27"/>
        <v>13361.813281853281</v>
      </c>
      <c r="H143" s="270">
        <f t="shared" si="33"/>
        <v>0</v>
      </c>
      <c r="I143" s="284">
        <f t="shared" si="34"/>
        <v>0</v>
      </c>
      <c r="J143" s="262"/>
      <c r="K143" s="271">
        <f>Données!Y143</f>
        <v>0</v>
      </c>
      <c r="L143" s="418">
        <f>Données!Z143</f>
        <v>5.2999999999999999E-2</v>
      </c>
      <c r="M143" s="262">
        <f t="shared" si="28"/>
        <v>31.168298714144409</v>
      </c>
      <c r="N143" s="284">
        <f t="shared" si="29"/>
        <v>0</v>
      </c>
      <c r="O143" s="262"/>
      <c r="P143" s="246">
        <f>Données!AA143</f>
        <v>1668</v>
      </c>
      <c r="Q143" s="281">
        <f>Données!AB143</f>
        <v>23</v>
      </c>
      <c r="R143" s="233">
        <f t="shared" si="30"/>
        <v>1671.45</v>
      </c>
      <c r="S143" s="285">
        <f t="shared" si="31"/>
        <v>9.3833155560545667E-2</v>
      </c>
      <c r="T143" s="270">
        <f t="shared" si="32"/>
        <v>2426.0650306748462</v>
      </c>
      <c r="U143" s="270">
        <f t="shared" si="35"/>
        <v>0</v>
      </c>
      <c r="V143" s="284">
        <f t="shared" si="36"/>
        <v>0</v>
      </c>
      <c r="W143" s="337"/>
      <c r="X143" s="233">
        <f t="shared" si="37"/>
        <v>0</v>
      </c>
      <c r="Y143" s="250">
        <f t="shared" si="38"/>
        <v>0</v>
      </c>
    </row>
    <row r="144" spans="1:25" x14ac:dyDescent="0.25">
      <c r="A144" s="108">
        <f>Données!A144</f>
        <v>5643</v>
      </c>
      <c r="B144" s="116" t="str">
        <f>Données!B144</f>
        <v>Préverenges</v>
      </c>
      <c r="C144" s="249">
        <f>Données!C144</f>
        <v>5236</v>
      </c>
      <c r="D144" s="262"/>
      <c r="E144" s="246">
        <f>Données!X144</f>
        <v>182</v>
      </c>
      <c r="F144" s="283">
        <f t="shared" si="26"/>
        <v>3.4759358288770054E-2</v>
      </c>
      <c r="G144" s="262">
        <f t="shared" si="27"/>
        <v>3927.6064864864861</v>
      </c>
      <c r="H144" s="270">
        <f t="shared" si="33"/>
        <v>0</v>
      </c>
      <c r="I144" s="284">
        <f t="shared" si="34"/>
        <v>0</v>
      </c>
      <c r="J144" s="262"/>
      <c r="K144" s="271">
        <f>Données!Y144</f>
        <v>0</v>
      </c>
      <c r="L144" s="418">
        <f>Données!Z144</f>
        <v>3.3000000000000002E-2</v>
      </c>
      <c r="M144" s="262">
        <f t="shared" si="28"/>
        <v>19.406676557863502</v>
      </c>
      <c r="N144" s="284">
        <f t="shared" si="29"/>
        <v>0</v>
      </c>
      <c r="O144" s="262"/>
      <c r="P144" s="246">
        <f>Données!AA144</f>
        <v>571</v>
      </c>
      <c r="Q144" s="281">
        <f>Données!AB144</f>
        <v>21</v>
      </c>
      <c r="R144" s="233">
        <f t="shared" si="30"/>
        <v>574.15</v>
      </c>
      <c r="S144" s="285">
        <f t="shared" si="31"/>
        <v>0.10965431627196333</v>
      </c>
      <c r="T144" s="270">
        <f t="shared" si="32"/>
        <v>713.12392638036795</v>
      </c>
      <c r="U144" s="270">
        <f t="shared" si="35"/>
        <v>0</v>
      </c>
      <c r="V144" s="284">
        <f t="shared" si="36"/>
        <v>0</v>
      </c>
      <c r="W144" s="337"/>
      <c r="X144" s="233">
        <f t="shared" si="37"/>
        <v>0</v>
      </c>
      <c r="Y144" s="250">
        <f t="shared" si="38"/>
        <v>0</v>
      </c>
    </row>
    <row r="145" spans="1:25" x14ac:dyDescent="0.25">
      <c r="A145" s="108">
        <f>Données!A145</f>
        <v>5645</v>
      </c>
      <c r="B145" s="116" t="str">
        <f>Données!B145</f>
        <v>Romanel-sur-Morges</v>
      </c>
      <c r="C145" s="249">
        <f>Données!C145</f>
        <v>462</v>
      </c>
      <c r="D145" s="262"/>
      <c r="E145" s="246">
        <f>Données!X145</f>
        <v>170</v>
      </c>
      <c r="F145" s="283">
        <f t="shared" si="26"/>
        <v>0.36796536796536794</v>
      </c>
      <c r="G145" s="262">
        <f t="shared" si="27"/>
        <v>346.55351351351351</v>
      </c>
      <c r="H145" s="270">
        <f t="shared" si="33"/>
        <v>0</v>
      </c>
      <c r="I145" s="284">
        <f t="shared" si="34"/>
        <v>0</v>
      </c>
      <c r="J145" s="262"/>
      <c r="K145" s="271">
        <f>Données!Y145</f>
        <v>0</v>
      </c>
      <c r="L145" s="418">
        <f>Données!Z145</f>
        <v>7.9000000000000001E-2</v>
      </c>
      <c r="M145" s="262">
        <f t="shared" si="28"/>
        <v>46.458407517309595</v>
      </c>
      <c r="N145" s="284">
        <f t="shared" si="29"/>
        <v>0</v>
      </c>
      <c r="O145" s="262"/>
      <c r="P145" s="246">
        <f>Données!AA145</f>
        <v>39</v>
      </c>
      <c r="Q145" s="281">
        <f>Données!AB145</f>
        <v>21</v>
      </c>
      <c r="R145" s="233">
        <f t="shared" si="30"/>
        <v>42.15</v>
      </c>
      <c r="S145" s="285">
        <f t="shared" si="31"/>
        <v>9.1233766233766236E-2</v>
      </c>
      <c r="T145" s="270">
        <f t="shared" si="32"/>
        <v>62.922699386503048</v>
      </c>
      <c r="U145" s="270">
        <f t="shared" si="35"/>
        <v>0</v>
      </c>
      <c r="V145" s="284">
        <f t="shared" si="36"/>
        <v>0</v>
      </c>
      <c r="W145" s="337"/>
      <c r="X145" s="233">
        <f t="shared" si="37"/>
        <v>0</v>
      </c>
      <c r="Y145" s="250">
        <f t="shared" si="38"/>
        <v>0</v>
      </c>
    </row>
    <row r="146" spans="1:25" x14ac:dyDescent="0.25">
      <c r="A146" s="108">
        <f>Données!A146</f>
        <v>5646</v>
      </c>
      <c r="B146" s="116" t="str">
        <f>Données!B146</f>
        <v>Saint-Prex</v>
      </c>
      <c r="C146" s="249">
        <f>Données!C146</f>
        <v>5922</v>
      </c>
      <c r="D146" s="262"/>
      <c r="E146" s="246">
        <f>Données!X146</f>
        <v>551</v>
      </c>
      <c r="F146" s="283">
        <f t="shared" si="26"/>
        <v>9.3042890915231338E-2</v>
      </c>
      <c r="G146" s="262">
        <f t="shared" si="27"/>
        <v>4442.1859459459456</v>
      </c>
      <c r="H146" s="270">
        <f t="shared" si="33"/>
        <v>0</v>
      </c>
      <c r="I146" s="284">
        <f t="shared" si="34"/>
        <v>0</v>
      </c>
      <c r="J146" s="262"/>
      <c r="K146" s="271">
        <f>Données!Y146</f>
        <v>0</v>
      </c>
      <c r="L146" s="418">
        <f>Données!Z146</f>
        <v>4.3999999999999997E-2</v>
      </c>
      <c r="M146" s="262">
        <f t="shared" si="28"/>
        <v>25.875568743818</v>
      </c>
      <c r="N146" s="284">
        <f t="shared" si="29"/>
        <v>0</v>
      </c>
      <c r="O146" s="262"/>
      <c r="P146" s="246">
        <f>Données!AA146</f>
        <v>658</v>
      </c>
      <c r="Q146" s="281">
        <f>Données!AB146</f>
        <v>16</v>
      </c>
      <c r="R146" s="233">
        <f t="shared" si="30"/>
        <v>660.4</v>
      </c>
      <c r="S146" s="285">
        <f t="shared" si="31"/>
        <v>0.11151637960148598</v>
      </c>
      <c r="T146" s="270">
        <f t="shared" si="32"/>
        <v>806.55460122699367</v>
      </c>
      <c r="U146" s="270">
        <f t="shared" si="35"/>
        <v>0</v>
      </c>
      <c r="V146" s="284">
        <f t="shared" si="36"/>
        <v>0</v>
      </c>
      <c r="W146" s="337"/>
      <c r="X146" s="233">
        <f t="shared" si="37"/>
        <v>0</v>
      </c>
      <c r="Y146" s="250">
        <f t="shared" si="38"/>
        <v>0</v>
      </c>
    </row>
    <row r="147" spans="1:25" x14ac:dyDescent="0.25">
      <c r="A147" s="108">
        <f>Données!A147</f>
        <v>5648</v>
      </c>
      <c r="B147" s="116" t="str">
        <f>Données!B147</f>
        <v>Saint-Sulpice</v>
      </c>
      <c r="C147" s="249">
        <f>Données!C147</f>
        <v>5193</v>
      </c>
      <c r="D147" s="262"/>
      <c r="E147" s="246">
        <f>Données!X147</f>
        <v>181</v>
      </c>
      <c r="F147" s="283">
        <f t="shared" si="26"/>
        <v>3.4854611977662237E-2</v>
      </c>
      <c r="G147" s="262">
        <f t="shared" si="27"/>
        <v>3895.3515057915056</v>
      </c>
      <c r="H147" s="270">
        <f t="shared" si="33"/>
        <v>0</v>
      </c>
      <c r="I147" s="284">
        <f t="shared" si="34"/>
        <v>0</v>
      </c>
      <c r="J147" s="262"/>
      <c r="K147" s="271">
        <f>Données!Y147</f>
        <v>0</v>
      </c>
      <c r="L147" s="418">
        <f>Données!Z147</f>
        <v>3.6999999999999998E-2</v>
      </c>
      <c r="M147" s="262">
        <f t="shared" si="28"/>
        <v>21.759000989119681</v>
      </c>
      <c r="N147" s="284">
        <f t="shared" si="29"/>
        <v>0</v>
      </c>
      <c r="O147" s="262"/>
      <c r="P147" s="246">
        <f>Données!AA147</f>
        <v>467</v>
      </c>
      <c r="Q147" s="281">
        <f>Données!AB147</f>
        <v>96</v>
      </c>
      <c r="R147" s="233">
        <f t="shared" si="30"/>
        <v>481.4</v>
      </c>
      <c r="S147" s="285">
        <f t="shared" si="31"/>
        <v>9.2701713845561334E-2</v>
      </c>
      <c r="T147" s="270">
        <f t="shared" si="32"/>
        <v>707.26748466257652</v>
      </c>
      <c r="U147" s="270">
        <f t="shared" si="35"/>
        <v>0</v>
      </c>
      <c r="V147" s="284">
        <f t="shared" si="36"/>
        <v>0</v>
      </c>
      <c r="W147" s="337"/>
      <c r="X147" s="233">
        <f t="shared" si="37"/>
        <v>0</v>
      </c>
      <c r="Y147" s="250">
        <f t="shared" si="38"/>
        <v>0</v>
      </c>
    </row>
    <row r="148" spans="1:25" x14ac:dyDescent="0.25">
      <c r="A148" s="108">
        <f>Données!A148</f>
        <v>5649</v>
      </c>
      <c r="B148" s="116" t="str">
        <f>Données!B148</f>
        <v>Tolochenaz</v>
      </c>
      <c r="C148" s="249">
        <f>Données!C148</f>
        <v>1928</v>
      </c>
      <c r="D148" s="262"/>
      <c r="E148" s="246">
        <f>Données!X148</f>
        <v>157</v>
      </c>
      <c r="F148" s="283">
        <f t="shared" si="26"/>
        <v>8.1431535269709546E-2</v>
      </c>
      <c r="G148" s="262">
        <f t="shared" si="27"/>
        <v>1446.2233204633203</v>
      </c>
      <c r="H148" s="270">
        <f t="shared" si="33"/>
        <v>0</v>
      </c>
      <c r="I148" s="284">
        <f t="shared" si="34"/>
        <v>0</v>
      </c>
      <c r="J148" s="262"/>
      <c r="K148" s="271">
        <f>Données!Y148</f>
        <v>0</v>
      </c>
      <c r="L148" s="418">
        <f>Données!Z148</f>
        <v>5.3999999999999999E-2</v>
      </c>
      <c r="M148" s="262">
        <f t="shared" si="28"/>
        <v>31.756379821958454</v>
      </c>
      <c r="N148" s="284">
        <f t="shared" si="29"/>
        <v>0</v>
      </c>
      <c r="O148" s="262"/>
      <c r="P148" s="246">
        <f>Données!AA148</f>
        <v>229</v>
      </c>
      <c r="Q148" s="281">
        <f>Données!AB148</f>
        <v>74</v>
      </c>
      <c r="R148" s="233">
        <f t="shared" si="30"/>
        <v>240.1</v>
      </c>
      <c r="S148" s="285">
        <f t="shared" si="31"/>
        <v>0.12453319502074689</v>
      </c>
      <c r="T148" s="270">
        <f t="shared" si="32"/>
        <v>262.58650306748461</v>
      </c>
      <c r="U148" s="270">
        <f t="shared" si="35"/>
        <v>0</v>
      </c>
      <c r="V148" s="284">
        <f t="shared" si="36"/>
        <v>0</v>
      </c>
      <c r="W148" s="337"/>
      <c r="X148" s="233">
        <f t="shared" si="37"/>
        <v>0</v>
      </c>
      <c r="Y148" s="250">
        <f t="shared" si="38"/>
        <v>0</v>
      </c>
    </row>
    <row r="149" spans="1:25" x14ac:dyDescent="0.25">
      <c r="A149" s="108">
        <f>Données!A149</f>
        <v>5650</v>
      </c>
      <c r="B149" s="116" t="str">
        <f>Données!B149</f>
        <v>Vaux-sur-Morges</v>
      </c>
      <c r="C149" s="249">
        <f>Données!C149</f>
        <v>185</v>
      </c>
      <c r="D149" s="262"/>
      <c r="E149" s="246">
        <f>Données!X149</f>
        <v>211</v>
      </c>
      <c r="F149" s="283">
        <f t="shared" si="26"/>
        <v>1.1405405405405404</v>
      </c>
      <c r="G149" s="262">
        <f t="shared" si="27"/>
        <v>138.77142857142857</v>
      </c>
      <c r="H149" s="270">
        <f t="shared" si="33"/>
        <v>72.228571428571428</v>
      </c>
      <c r="I149" s="284">
        <f t="shared" si="34"/>
        <v>-7723</v>
      </c>
      <c r="J149" s="262"/>
      <c r="K149" s="271">
        <f>Données!Y149</f>
        <v>0</v>
      </c>
      <c r="L149" s="418">
        <f>Données!Z149</f>
        <v>4.3999999999999997E-2</v>
      </c>
      <c r="M149" s="262">
        <f t="shared" si="28"/>
        <v>25.875568743818</v>
      </c>
      <c r="N149" s="284">
        <f t="shared" si="29"/>
        <v>0</v>
      </c>
      <c r="O149" s="262"/>
      <c r="P149" s="246">
        <f>Données!AA149</f>
        <v>21</v>
      </c>
      <c r="Q149" s="281">
        <f>Données!AB149</f>
        <v>11</v>
      </c>
      <c r="R149" s="233">
        <f t="shared" si="30"/>
        <v>22.65</v>
      </c>
      <c r="S149" s="285">
        <f t="shared" si="31"/>
        <v>0.12243243243243243</v>
      </c>
      <c r="T149" s="270">
        <f t="shared" si="32"/>
        <v>25.1963190184049</v>
      </c>
      <c r="U149" s="270">
        <f t="shared" si="35"/>
        <v>0</v>
      </c>
      <c r="V149" s="284">
        <f t="shared" si="36"/>
        <v>0</v>
      </c>
      <c r="W149" s="337"/>
      <c r="X149" s="233">
        <f t="shared" si="37"/>
        <v>0</v>
      </c>
      <c r="Y149" s="250">
        <f t="shared" si="38"/>
        <v>0</v>
      </c>
    </row>
    <row r="150" spans="1:25" x14ac:dyDescent="0.25">
      <c r="A150" s="108">
        <f>Données!A150</f>
        <v>5651</v>
      </c>
      <c r="B150" s="116" t="str">
        <f>Données!B150</f>
        <v>Villars-Sainte-Croix</v>
      </c>
      <c r="C150" s="249">
        <f>Données!C150</f>
        <v>943</v>
      </c>
      <c r="D150" s="262"/>
      <c r="E150" s="246">
        <f>Données!X150</f>
        <v>164</v>
      </c>
      <c r="F150" s="283">
        <f t="shared" si="26"/>
        <v>0.17391304347826086</v>
      </c>
      <c r="G150" s="262">
        <f t="shared" si="27"/>
        <v>707.35922779922771</v>
      </c>
      <c r="H150" s="270">
        <f t="shared" si="33"/>
        <v>0</v>
      </c>
      <c r="I150" s="284">
        <f t="shared" si="34"/>
        <v>0</v>
      </c>
      <c r="J150" s="262"/>
      <c r="K150" s="271">
        <f>Données!Y150</f>
        <v>0</v>
      </c>
      <c r="L150" s="418">
        <f>Données!Z150</f>
        <v>6.4000000000000001E-2</v>
      </c>
      <c r="M150" s="262">
        <f t="shared" si="28"/>
        <v>37.637190900098915</v>
      </c>
      <c r="N150" s="284">
        <f t="shared" si="29"/>
        <v>0</v>
      </c>
      <c r="O150" s="262"/>
      <c r="P150" s="246">
        <f>Données!AA150</f>
        <v>116</v>
      </c>
      <c r="Q150" s="281">
        <f>Données!AB150</f>
        <v>57</v>
      </c>
      <c r="R150" s="233">
        <f t="shared" si="30"/>
        <v>124.55</v>
      </c>
      <c r="S150" s="285">
        <f t="shared" si="31"/>
        <v>0.13207847295864264</v>
      </c>
      <c r="T150" s="270">
        <f t="shared" si="32"/>
        <v>128.43312883435578</v>
      </c>
      <c r="U150" s="270">
        <f t="shared" si="35"/>
        <v>0</v>
      </c>
      <c r="V150" s="284">
        <f t="shared" si="36"/>
        <v>0</v>
      </c>
      <c r="W150" s="337"/>
      <c r="X150" s="233">
        <f t="shared" si="37"/>
        <v>0</v>
      </c>
      <c r="Y150" s="250">
        <f t="shared" si="38"/>
        <v>0</v>
      </c>
    </row>
    <row r="151" spans="1:25" x14ac:dyDescent="0.25">
      <c r="A151" s="108">
        <f>Données!A151</f>
        <v>5652</v>
      </c>
      <c r="B151" s="116" t="str">
        <f>Données!B151</f>
        <v>Villars-sous-Yens</v>
      </c>
      <c r="C151" s="249">
        <f>Données!C151</f>
        <v>603</v>
      </c>
      <c r="D151" s="262"/>
      <c r="E151" s="246">
        <f>Données!X151</f>
        <v>307</v>
      </c>
      <c r="F151" s="283">
        <f t="shared" si="26"/>
        <v>0.50912106135986734</v>
      </c>
      <c r="G151" s="262">
        <f t="shared" si="27"/>
        <v>452.31984555984553</v>
      </c>
      <c r="H151" s="270">
        <f t="shared" si="33"/>
        <v>0</v>
      </c>
      <c r="I151" s="284">
        <f t="shared" si="34"/>
        <v>0</v>
      </c>
      <c r="J151" s="262"/>
      <c r="K151" s="271">
        <f>Données!Y151</f>
        <v>0</v>
      </c>
      <c r="L151" s="418">
        <f>Données!Z151</f>
        <v>3.9E-2</v>
      </c>
      <c r="M151" s="262">
        <f t="shared" si="28"/>
        <v>22.935163204747774</v>
      </c>
      <c r="N151" s="284">
        <f t="shared" si="29"/>
        <v>0</v>
      </c>
      <c r="O151" s="262"/>
      <c r="P151" s="246">
        <f>Données!AA151</f>
        <v>65</v>
      </c>
      <c r="Q151" s="281">
        <f>Données!AB151</f>
        <v>34</v>
      </c>
      <c r="R151" s="233">
        <f t="shared" si="30"/>
        <v>70.099999999999994</v>
      </c>
      <c r="S151" s="285">
        <f t="shared" si="31"/>
        <v>0.11625207296849087</v>
      </c>
      <c r="T151" s="270">
        <f t="shared" si="32"/>
        <v>82.12638036809814</v>
      </c>
      <c r="U151" s="270">
        <f t="shared" si="35"/>
        <v>0</v>
      </c>
      <c r="V151" s="284">
        <f t="shared" si="36"/>
        <v>0</v>
      </c>
      <c r="W151" s="337"/>
      <c r="X151" s="233">
        <f t="shared" si="37"/>
        <v>0</v>
      </c>
      <c r="Y151" s="250">
        <f t="shared" si="38"/>
        <v>0</v>
      </c>
    </row>
    <row r="152" spans="1:25" x14ac:dyDescent="0.25">
      <c r="A152" s="108">
        <f>Données!A152</f>
        <v>5653</v>
      </c>
      <c r="B152" s="116" t="str">
        <f>Données!B152</f>
        <v>Vufflens-le-Château</v>
      </c>
      <c r="C152" s="249">
        <f>Données!C152</f>
        <v>887</v>
      </c>
      <c r="D152" s="262"/>
      <c r="E152" s="246">
        <f>Données!X152</f>
        <v>215</v>
      </c>
      <c r="F152" s="283">
        <f t="shared" si="26"/>
        <v>0.24239007891770012</v>
      </c>
      <c r="G152" s="262">
        <f t="shared" si="27"/>
        <v>665.35274131274127</v>
      </c>
      <c r="H152" s="270">
        <f t="shared" si="33"/>
        <v>0</v>
      </c>
      <c r="I152" s="284">
        <f t="shared" si="34"/>
        <v>0</v>
      </c>
      <c r="J152" s="262"/>
      <c r="K152" s="271">
        <f>Données!Y152</f>
        <v>0</v>
      </c>
      <c r="L152" s="418">
        <f>Données!Z152</f>
        <v>7.8E-2</v>
      </c>
      <c r="M152" s="262">
        <f t="shared" si="28"/>
        <v>45.870326409495547</v>
      </c>
      <c r="N152" s="284">
        <f t="shared" si="29"/>
        <v>0</v>
      </c>
      <c r="O152" s="262"/>
      <c r="P152" s="246">
        <f>Données!AA152</f>
        <v>96</v>
      </c>
      <c r="Q152" s="281">
        <f>Données!AB152</f>
        <v>53</v>
      </c>
      <c r="R152" s="233">
        <f t="shared" si="30"/>
        <v>103.95</v>
      </c>
      <c r="S152" s="285">
        <f t="shared" si="31"/>
        <v>0.11719278466741827</v>
      </c>
      <c r="T152" s="270">
        <f t="shared" si="32"/>
        <v>120.80613496932511</v>
      </c>
      <c r="U152" s="270">
        <f t="shared" si="35"/>
        <v>0</v>
      </c>
      <c r="V152" s="284">
        <f t="shared" si="36"/>
        <v>0</v>
      </c>
      <c r="W152" s="337"/>
      <c r="X152" s="233">
        <f t="shared" si="37"/>
        <v>0</v>
      </c>
      <c r="Y152" s="250">
        <f t="shared" si="38"/>
        <v>0</v>
      </c>
    </row>
    <row r="153" spans="1:25" x14ac:dyDescent="0.25">
      <c r="A153" s="108">
        <f>Données!A153</f>
        <v>5654</v>
      </c>
      <c r="B153" s="116" t="str">
        <f>Données!B153</f>
        <v>Vullierens</v>
      </c>
      <c r="C153" s="249">
        <f>Données!C153</f>
        <v>577</v>
      </c>
      <c r="D153" s="262"/>
      <c r="E153" s="246">
        <f>Données!X153</f>
        <v>681</v>
      </c>
      <c r="F153" s="283">
        <f t="shared" si="26"/>
        <v>1.1802426343154246</v>
      </c>
      <c r="G153" s="262">
        <f t="shared" si="27"/>
        <v>432.81683397683395</v>
      </c>
      <c r="H153" s="270">
        <f t="shared" si="33"/>
        <v>248.18316602316605</v>
      </c>
      <c r="I153" s="284">
        <f t="shared" si="34"/>
        <v>-26537</v>
      </c>
      <c r="J153" s="262"/>
      <c r="K153" s="271">
        <f>Données!Y153</f>
        <v>0</v>
      </c>
      <c r="L153" s="418">
        <f>Données!Z153</f>
        <v>1.6E-2</v>
      </c>
      <c r="M153" s="262">
        <f t="shared" si="28"/>
        <v>9.4092977250247287</v>
      </c>
      <c r="N153" s="284">
        <f t="shared" si="29"/>
        <v>0</v>
      </c>
      <c r="O153" s="262"/>
      <c r="P153" s="246">
        <f>Données!AA153</f>
        <v>74</v>
      </c>
      <c r="Q153" s="281">
        <f>Données!AB153</f>
        <v>74</v>
      </c>
      <c r="R153" s="233">
        <f t="shared" si="30"/>
        <v>85.1</v>
      </c>
      <c r="S153" s="285">
        <f t="shared" si="31"/>
        <v>0.14748700173310225</v>
      </c>
      <c r="T153" s="270">
        <f t="shared" si="32"/>
        <v>78.58527607361961</v>
      </c>
      <c r="U153" s="270">
        <f t="shared" si="35"/>
        <v>6.514723926380384</v>
      </c>
      <c r="V153" s="284">
        <f t="shared" si="36"/>
        <v>-27863</v>
      </c>
      <c r="W153" s="337"/>
      <c r="X153" s="233">
        <f t="shared" si="37"/>
        <v>-27863</v>
      </c>
      <c r="Y153" s="250">
        <f t="shared" si="38"/>
        <v>0</v>
      </c>
    </row>
    <row r="154" spans="1:25" x14ac:dyDescent="0.25">
      <c r="A154" s="108">
        <f>Données!A154</f>
        <v>5655</v>
      </c>
      <c r="B154" s="116" t="str">
        <f>Données!B154</f>
        <v>Yens</v>
      </c>
      <c r="C154" s="249">
        <f>Données!C154</f>
        <v>1481</v>
      </c>
      <c r="D154" s="262"/>
      <c r="E154" s="246">
        <f>Données!X154</f>
        <v>951</v>
      </c>
      <c r="F154" s="283">
        <f t="shared" si="26"/>
        <v>0.64213369345037141</v>
      </c>
      <c r="G154" s="262">
        <f t="shared" si="27"/>
        <v>1110.9215444015442</v>
      </c>
      <c r="H154" s="270">
        <f t="shared" si="33"/>
        <v>0</v>
      </c>
      <c r="I154" s="284">
        <f t="shared" si="34"/>
        <v>0</v>
      </c>
      <c r="J154" s="262"/>
      <c r="K154" s="271">
        <f>Données!Y154</f>
        <v>0</v>
      </c>
      <c r="L154" s="418">
        <f>Données!Z154</f>
        <v>4.2999999999999997E-2</v>
      </c>
      <c r="M154" s="262">
        <f t="shared" si="28"/>
        <v>25.287487636003952</v>
      </c>
      <c r="N154" s="284">
        <f t="shared" si="29"/>
        <v>0</v>
      </c>
      <c r="O154" s="262"/>
      <c r="P154" s="246">
        <f>Données!AA154</f>
        <v>179</v>
      </c>
      <c r="Q154" s="281">
        <f>Données!AB154</f>
        <v>52</v>
      </c>
      <c r="R154" s="233">
        <f t="shared" si="30"/>
        <v>186.8</v>
      </c>
      <c r="S154" s="285">
        <f t="shared" si="31"/>
        <v>0.12613099257258609</v>
      </c>
      <c r="T154" s="270">
        <f t="shared" si="32"/>
        <v>201.70674846625761</v>
      </c>
      <c r="U154" s="270">
        <f t="shared" si="35"/>
        <v>0</v>
      </c>
      <c r="V154" s="284">
        <f t="shared" si="36"/>
        <v>0</v>
      </c>
      <c r="W154" s="337"/>
      <c r="X154" s="233">
        <f t="shared" si="37"/>
        <v>0</v>
      </c>
      <c r="Y154" s="250">
        <f t="shared" si="38"/>
        <v>0</v>
      </c>
    </row>
    <row r="155" spans="1:25" x14ac:dyDescent="0.25">
      <c r="A155" s="108">
        <f>Données!A155</f>
        <v>5656</v>
      </c>
      <c r="B155" s="116" t="str">
        <f>Données!B155</f>
        <v>Hautemorges</v>
      </c>
      <c r="C155" s="249">
        <f>Données!C155</f>
        <v>4426</v>
      </c>
      <c r="D155" s="262"/>
      <c r="E155" s="246">
        <f>Données!X155</f>
        <v>3297</v>
      </c>
      <c r="F155" s="283">
        <f t="shared" si="26"/>
        <v>0.74491640307275198</v>
      </c>
      <c r="G155" s="262">
        <f t="shared" si="27"/>
        <v>3320.0126640926637</v>
      </c>
      <c r="H155" s="270">
        <f t="shared" si="33"/>
        <v>0</v>
      </c>
      <c r="I155" s="284">
        <f t="shared" si="34"/>
        <v>0</v>
      </c>
      <c r="J155" s="262"/>
      <c r="K155" s="271">
        <f>Données!Y155</f>
        <v>0</v>
      </c>
      <c r="L155" s="418">
        <f>Données!Z155</f>
        <v>1.7000000000000001E-2</v>
      </c>
      <c r="M155" s="262">
        <f t="shared" si="28"/>
        <v>9.9973788328387734</v>
      </c>
      <c r="N155" s="284">
        <f t="shared" si="29"/>
        <v>0</v>
      </c>
      <c r="O155" s="262"/>
      <c r="P155" s="246">
        <f>Données!AA155</f>
        <v>568</v>
      </c>
      <c r="Q155" s="281">
        <f>Données!AB155</f>
        <v>221</v>
      </c>
      <c r="R155" s="233">
        <f t="shared" si="30"/>
        <v>601.15</v>
      </c>
      <c r="S155" s="285">
        <f t="shared" si="31"/>
        <v>0.13582241301400813</v>
      </c>
      <c r="T155" s="270">
        <f t="shared" si="32"/>
        <v>602.80490797545997</v>
      </c>
      <c r="U155" s="270">
        <f t="shared" si="35"/>
        <v>0</v>
      </c>
      <c r="V155" s="284">
        <f t="shared" si="36"/>
        <v>0</v>
      </c>
      <c r="W155" s="337"/>
      <c r="X155" s="233">
        <f t="shared" si="37"/>
        <v>0</v>
      </c>
      <c r="Y155" s="250">
        <f t="shared" si="38"/>
        <v>0</v>
      </c>
    </row>
    <row r="156" spans="1:25" x14ac:dyDescent="0.25">
      <c r="A156" s="108">
        <f>Données!A156</f>
        <v>5661</v>
      </c>
      <c r="B156" s="116" t="str">
        <f>Données!B156</f>
        <v>Boulens</v>
      </c>
      <c r="C156" s="249">
        <f>Données!C156</f>
        <v>371</v>
      </c>
      <c r="D156" s="262"/>
      <c r="E156" s="246">
        <f>Données!X156</f>
        <v>341</v>
      </c>
      <c r="F156" s="283">
        <f t="shared" si="26"/>
        <v>0.91913746630727766</v>
      </c>
      <c r="G156" s="262">
        <f t="shared" si="27"/>
        <v>278.29297297297296</v>
      </c>
      <c r="H156" s="270">
        <f t="shared" si="33"/>
        <v>62.707027027027038</v>
      </c>
      <c r="I156" s="284">
        <f t="shared" si="34"/>
        <v>-6705</v>
      </c>
      <c r="J156" s="262"/>
      <c r="K156" s="271">
        <f>Données!Y156</f>
        <v>0</v>
      </c>
      <c r="L156" s="418">
        <f>Données!Z156</f>
        <v>0.20799999999999999</v>
      </c>
      <c r="M156" s="262">
        <f t="shared" si="28"/>
        <v>122.32087042532146</v>
      </c>
      <c r="N156" s="284">
        <f t="shared" si="29"/>
        <v>0</v>
      </c>
      <c r="O156" s="262"/>
      <c r="P156" s="246">
        <f>Données!AA156</f>
        <v>53</v>
      </c>
      <c r="Q156" s="281">
        <f>Données!AB156</f>
        <v>50</v>
      </c>
      <c r="R156" s="233">
        <f t="shared" si="30"/>
        <v>60.5</v>
      </c>
      <c r="S156" s="285">
        <f t="shared" si="31"/>
        <v>0.16307277628032346</v>
      </c>
      <c r="T156" s="270">
        <f t="shared" si="32"/>
        <v>50.528834355828209</v>
      </c>
      <c r="U156" s="270">
        <f t="shared" si="35"/>
        <v>9.9711656441717906</v>
      </c>
      <c r="V156" s="284">
        <f t="shared" si="36"/>
        <v>-42646</v>
      </c>
      <c r="W156" s="337"/>
      <c r="X156" s="233">
        <f t="shared" si="37"/>
        <v>-32077.15133531157</v>
      </c>
      <c r="Y156" s="250">
        <f t="shared" si="38"/>
        <v>-10568.84866468843</v>
      </c>
    </row>
    <row r="157" spans="1:25" x14ac:dyDescent="0.25">
      <c r="A157" s="108">
        <f>Données!A157</f>
        <v>5663</v>
      </c>
      <c r="B157" s="116" t="str">
        <f>Données!B157</f>
        <v>Bussy-sur-Moudon</v>
      </c>
      <c r="C157" s="249">
        <f>Données!C157</f>
        <v>267</v>
      </c>
      <c r="D157" s="262"/>
      <c r="E157" s="246">
        <f>Données!X157</f>
        <v>313</v>
      </c>
      <c r="F157" s="283">
        <f t="shared" si="26"/>
        <v>1.1722846441947565</v>
      </c>
      <c r="G157" s="262">
        <f t="shared" si="27"/>
        <v>200.28092664092662</v>
      </c>
      <c r="H157" s="270">
        <f t="shared" si="33"/>
        <v>112.71907335907338</v>
      </c>
      <c r="I157" s="284">
        <f t="shared" si="34"/>
        <v>-12052</v>
      </c>
      <c r="J157" s="262"/>
      <c r="K157" s="271">
        <f>Données!Y157</f>
        <v>0</v>
      </c>
      <c r="L157" s="418">
        <f>Données!Z157</f>
        <v>8.5000000000000006E-2</v>
      </c>
      <c r="M157" s="262">
        <f t="shared" si="28"/>
        <v>49.98689416419387</v>
      </c>
      <c r="N157" s="284">
        <f t="shared" si="29"/>
        <v>0</v>
      </c>
      <c r="O157" s="262"/>
      <c r="P157" s="246">
        <f>Données!AA157</f>
        <v>30</v>
      </c>
      <c r="Q157" s="281">
        <f>Données!AB157</f>
        <v>24</v>
      </c>
      <c r="R157" s="233">
        <f t="shared" si="30"/>
        <v>33.6</v>
      </c>
      <c r="S157" s="285">
        <f t="shared" si="31"/>
        <v>0.12584269662921349</v>
      </c>
      <c r="T157" s="270">
        <f t="shared" si="32"/>
        <v>36.364417177914099</v>
      </c>
      <c r="U157" s="270">
        <f t="shared" si="35"/>
        <v>0</v>
      </c>
      <c r="V157" s="284">
        <f t="shared" si="36"/>
        <v>0</v>
      </c>
      <c r="W157" s="337"/>
      <c r="X157" s="233">
        <f t="shared" si="37"/>
        <v>0</v>
      </c>
      <c r="Y157" s="250">
        <f t="shared" si="38"/>
        <v>0</v>
      </c>
    </row>
    <row r="158" spans="1:25" x14ac:dyDescent="0.25">
      <c r="A158" s="108">
        <f>Données!A158</f>
        <v>5665</v>
      </c>
      <c r="B158" s="116" t="str">
        <f>Données!B158</f>
        <v>Chavannes-sur-Moudon</v>
      </c>
      <c r="C158" s="249">
        <f>Données!C158</f>
        <v>232</v>
      </c>
      <c r="D158" s="262"/>
      <c r="E158" s="246">
        <f>Données!X158</f>
        <v>513</v>
      </c>
      <c r="F158" s="283">
        <f t="shared" si="26"/>
        <v>2.2112068965517242</v>
      </c>
      <c r="G158" s="262">
        <f t="shared" si="27"/>
        <v>174.02687258687257</v>
      </c>
      <c r="H158" s="270">
        <f t="shared" si="33"/>
        <v>338.97312741312743</v>
      </c>
      <c r="I158" s="284">
        <f t="shared" si="34"/>
        <v>-36244</v>
      </c>
      <c r="J158" s="262"/>
      <c r="K158" s="271">
        <f>Données!Y158</f>
        <v>18</v>
      </c>
      <c r="L158" s="418">
        <f>Données!Z158</f>
        <v>8.1000000000000003E-2</v>
      </c>
      <c r="M158" s="262">
        <f t="shared" si="28"/>
        <v>47.634569732937685</v>
      </c>
      <c r="N158" s="284">
        <f t="shared" si="29"/>
        <v>-857</v>
      </c>
      <c r="O158" s="262"/>
      <c r="P158" s="246">
        <f>Données!AA158</f>
        <v>20</v>
      </c>
      <c r="Q158" s="281">
        <f>Données!AB158</f>
        <v>20</v>
      </c>
      <c r="R158" s="233">
        <f t="shared" si="30"/>
        <v>23</v>
      </c>
      <c r="S158" s="285">
        <f t="shared" si="31"/>
        <v>9.9137931034482762E-2</v>
      </c>
      <c r="T158" s="270">
        <f t="shared" si="32"/>
        <v>31.59754601226993</v>
      </c>
      <c r="U158" s="270">
        <f t="shared" si="35"/>
        <v>0</v>
      </c>
      <c r="V158" s="284">
        <f t="shared" si="36"/>
        <v>0</v>
      </c>
      <c r="W158" s="337"/>
      <c r="X158" s="233">
        <f t="shared" si="37"/>
        <v>0</v>
      </c>
      <c r="Y158" s="250">
        <f t="shared" si="38"/>
        <v>0</v>
      </c>
    </row>
    <row r="159" spans="1:25" x14ac:dyDescent="0.25">
      <c r="A159" s="108">
        <f>Données!A159</f>
        <v>5671</v>
      </c>
      <c r="B159" s="116" t="str">
        <f>Données!B159</f>
        <v>Dompierre</v>
      </c>
      <c r="C159" s="249">
        <f>Données!C159</f>
        <v>242</v>
      </c>
      <c r="D159" s="262"/>
      <c r="E159" s="246">
        <f>Données!X159</f>
        <v>325</v>
      </c>
      <c r="F159" s="283">
        <f t="shared" si="26"/>
        <v>1.3429752066115703</v>
      </c>
      <c r="G159" s="262">
        <f t="shared" si="27"/>
        <v>181.52803088803088</v>
      </c>
      <c r="H159" s="270">
        <f t="shared" si="33"/>
        <v>143.47196911196912</v>
      </c>
      <c r="I159" s="284">
        <f t="shared" si="34"/>
        <v>-15341</v>
      </c>
      <c r="J159" s="262"/>
      <c r="K159" s="271">
        <f>Données!Y159</f>
        <v>2</v>
      </c>
      <c r="L159" s="418">
        <f>Données!Z159</f>
        <v>5.8000000000000003E-2</v>
      </c>
      <c r="M159" s="262">
        <f t="shared" si="28"/>
        <v>34.10870425321464</v>
      </c>
      <c r="N159" s="284">
        <f t="shared" si="29"/>
        <v>-68</v>
      </c>
      <c r="O159" s="262"/>
      <c r="P159" s="246">
        <f>Données!AA159</f>
        <v>33</v>
      </c>
      <c r="Q159" s="281">
        <f>Données!AB159</f>
        <v>33</v>
      </c>
      <c r="R159" s="233">
        <f t="shared" si="30"/>
        <v>37.950000000000003</v>
      </c>
      <c r="S159" s="285">
        <f t="shared" si="31"/>
        <v>0.15681818181818183</v>
      </c>
      <c r="T159" s="270">
        <f t="shared" si="32"/>
        <v>32.95950920245398</v>
      </c>
      <c r="U159" s="270">
        <f t="shared" si="35"/>
        <v>4.9904907975460233</v>
      </c>
      <c r="V159" s="284">
        <f t="shared" si="36"/>
        <v>-21344</v>
      </c>
      <c r="W159" s="337"/>
      <c r="X159" s="233">
        <f t="shared" si="37"/>
        <v>-21170.919881305639</v>
      </c>
      <c r="Y159" s="250">
        <f t="shared" si="38"/>
        <v>-173.08011869436086</v>
      </c>
    </row>
    <row r="160" spans="1:25" x14ac:dyDescent="0.25">
      <c r="A160" s="108">
        <f>Données!A160</f>
        <v>5673</v>
      </c>
      <c r="B160" s="116" t="str">
        <f>Données!B160</f>
        <v>Hermenches</v>
      </c>
      <c r="C160" s="249">
        <f>Données!C160</f>
        <v>364</v>
      </c>
      <c r="D160" s="262"/>
      <c r="E160" s="246">
        <f>Données!X160</f>
        <v>478</v>
      </c>
      <c r="F160" s="283">
        <f t="shared" si="26"/>
        <v>1.3131868131868132</v>
      </c>
      <c r="G160" s="262">
        <f t="shared" si="27"/>
        <v>273.04216216216213</v>
      </c>
      <c r="H160" s="270">
        <f t="shared" si="33"/>
        <v>204.95783783783787</v>
      </c>
      <c r="I160" s="284">
        <f t="shared" si="34"/>
        <v>-21915</v>
      </c>
      <c r="J160" s="262"/>
      <c r="K160" s="271">
        <f>Données!Y160</f>
        <v>52</v>
      </c>
      <c r="L160" s="418">
        <f>Données!Z160</f>
        <v>0.156</v>
      </c>
      <c r="M160" s="262">
        <f t="shared" si="28"/>
        <v>91.740652818991094</v>
      </c>
      <c r="N160" s="284">
        <f t="shared" si="29"/>
        <v>-4771</v>
      </c>
      <c r="O160" s="262"/>
      <c r="P160" s="246">
        <f>Données!AA160</f>
        <v>33</v>
      </c>
      <c r="Q160" s="281">
        <f>Données!AB160</f>
        <v>33</v>
      </c>
      <c r="R160" s="233">
        <f t="shared" si="30"/>
        <v>37.950000000000003</v>
      </c>
      <c r="S160" s="285">
        <f t="shared" si="31"/>
        <v>0.10425824175824176</v>
      </c>
      <c r="T160" s="270">
        <f t="shared" si="32"/>
        <v>49.575460122699376</v>
      </c>
      <c r="U160" s="270">
        <f t="shared" si="35"/>
        <v>0</v>
      </c>
      <c r="V160" s="284">
        <f t="shared" si="36"/>
        <v>0</v>
      </c>
      <c r="W160" s="337"/>
      <c r="X160" s="233">
        <f t="shared" si="37"/>
        <v>0</v>
      </c>
      <c r="Y160" s="250">
        <f t="shared" si="38"/>
        <v>0</v>
      </c>
    </row>
    <row r="161" spans="1:25" x14ac:dyDescent="0.25">
      <c r="A161" s="108">
        <f>Données!A161</f>
        <v>5674</v>
      </c>
      <c r="B161" s="116" t="str">
        <f>Données!B161</f>
        <v>Lovatens</v>
      </c>
      <c r="C161" s="249">
        <f>Données!C161</f>
        <v>152</v>
      </c>
      <c r="D161" s="262"/>
      <c r="E161" s="246">
        <f>Données!X161</f>
        <v>347</v>
      </c>
      <c r="F161" s="283">
        <f t="shared" si="26"/>
        <v>2.2828947368421053</v>
      </c>
      <c r="G161" s="262">
        <f t="shared" si="27"/>
        <v>114.01760617760617</v>
      </c>
      <c r="H161" s="270">
        <f t="shared" si="33"/>
        <v>232.98239382239382</v>
      </c>
      <c r="I161" s="284">
        <f t="shared" si="34"/>
        <v>-24911</v>
      </c>
      <c r="J161" s="262"/>
      <c r="K161" s="271">
        <f>Données!Y161</f>
        <v>11</v>
      </c>
      <c r="L161" s="418">
        <f>Données!Z161</f>
        <v>8.8999999999999996E-2</v>
      </c>
      <c r="M161" s="262">
        <f t="shared" si="28"/>
        <v>52.339218595450042</v>
      </c>
      <c r="N161" s="284">
        <f t="shared" si="29"/>
        <v>-576</v>
      </c>
      <c r="O161" s="262"/>
      <c r="P161" s="246">
        <f>Données!AA161</f>
        <v>18</v>
      </c>
      <c r="Q161" s="281">
        <f>Données!AB161</f>
        <v>18</v>
      </c>
      <c r="R161" s="233">
        <f t="shared" si="30"/>
        <v>20.7</v>
      </c>
      <c r="S161" s="285">
        <f t="shared" si="31"/>
        <v>0.1361842105263158</v>
      </c>
      <c r="T161" s="270">
        <f t="shared" si="32"/>
        <v>20.70184049079754</v>
      </c>
      <c r="U161" s="270">
        <f t="shared" si="35"/>
        <v>0</v>
      </c>
      <c r="V161" s="284">
        <f t="shared" si="36"/>
        <v>0</v>
      </c>
      <c r="W161" s="337"/>
      <c r="X161" s="233">
        <f t="shared" si="37"/>
        <v>0</v>
      </c>
      <c r="Y161" s="250">
        <f t="shared" si="38"/>
        <v>0</v>
      </c>
    </row>
    <row r="162" spans="1:25" x14ac:dyDescent="0.25">
      <c r="A162" s="108">
        <f>Données!A162</f>
        <v>5675</v>
      </c>
      <c r="B162" s="116" t="str">
        <f>Données!B162</f>
        <v>Lucens</v>
      </c>
      <c r="C162" s="249">
        <f>Données!C162</f>
        <v>5194</v>
      </c>
      <c r="D162" s="262"/>
      <c r="E162" s="246">
        <f>Données!X162</f>
        <v>2401</v>
      </c>
      <c r="F162" s="283">
        <f t="shared" si="26"/>
        <v>0.46226415094339623</v>
      </c>
      <c r="G162" s="262">
        <f t="shared" si="27"/>
        <v>3896.1016216216212</v>
      </c>
      <c r="H162" s="270">
        <f t="shared" si="33"/>
        <v>0</v>
      </c>
      <c r="I162" s="284">
        <f t="shared" si="34"/>
        <v>0</v>
      </c>
      <c r="J162" s="262"/>
      <c r="K162" s="271">
        <f>Données!Y162</f>
        <v>149</v>
      </c>
      <c r="L162" s="418">
        <f>Données!Z162</f>
        <v>0.13600000000000001</v>
      </c>
      <c r="M162" s="262">
        <f t="shared" si="28"/>
        <v>79.979030662710187</v>
      </c>
      <c r="N162" s="284">
        <f t="shared" si="29"/>
        <v>-11917</v>
      </c>
      <c r="O162" s="262"/>
      <c r="P162" s="246">
        <f>Données!AA162</f>
        <v>718</v>
      </c>
      <c r="Q162" s="281">
        <f>Données!AB162</f>
        <v>261</v>
      </c>
      <c r="R162" s="233">
        <f t="shared" si="30"/>
        <v>757.15</v>
      </c>
      <c r="S162" s="285">
        <f t="shared" si="31"/>
        <v>0.14577396996534461</v>
      </c>
      <c r="T162" s="270">
        <f t="shared" si="32"/>
        <v>707.4036809815949</v>
      </c>
      <c r="U162" s="270">
        <f t="shared" si="35"/>
        <v>49.746319018405075</v>
      </c>
      <c r="V162" s="284">
        <f t="shared" si="36"/>
        <v>-212763</v>
      </c>
      <c r="W162" s="337"/>
      <c r="X162" s="233">
        <f t="shared" si="37"/>
        <v>-167442.72997032639</v>
      </c>
      <c r="Y162" s="250">
        <f t="shared" si="38"/>
        <v>-45320.270029673615</v>
      </c>
    </row>
    <row r="163" spans="1:25" x14ac:dyDescent="0.25">
      <c r="A163" s="108">
        <f>Données!A163</f>
        <v>5678</v>
      </c>
      <c r="B163" s="116" t="str">
        <f>Données!B163</f>
        <v>Moudon</v>
      </c>
      <c r="C163" s="249">
        <f>Données!C163</f>
        <v>6847</v>
      </c>
      <c r="D163" s="262"/>
      <c r="E163" s="246">
        <f>Données!X163</f>
        <v>1539</v>
      </c>
      <c r="F163" s="283">
        <f t="shared" si="26"/>
        <v>0.2247699722506207</v>
      </c>
      <c r="G163" s="262">
        <f t="shared" si="27"/>
        <v>5136.0430888030887</v>
      </c>
      <c r="H163" s="270">
        <f t="shared" si="33"/>
        <v>0</v>
      </c>
      <c r="I163" s="284">
        <f t="shared" si="34"/>
        <v>0</v>
      </c>
      <c r="J163" s="262"/>
      <c r="K163" s="271">
        <f>Données!Y163</f>
        <v>28</v>
      </c>
      <c r="L163" s="418">
        <f>Données!Z163</f>
        <v>0.25600000000000001</v>
      </c>
      <c r="M163" s="262">
        <f t="shared" si="28"/>
        <v>150.54876360039566</v>
      </c>
      <c r="N163" s="284">
        <f t="shared" si="29"/>
        <v>-4215</v>
      </c>
      <c r="O163" s="262"/>
      <c r="P163" s="246">
        <f>Données!AA163</f>
        <v>1028</v>
      </c>
      <c r="Q163" s="281">
        <f>Données!AB163</f>
        <v>45</v>
      </c>
      <c r="R163" s="233">
        <f t="shared" si="30"/>
        <v>1034.75</v>
      </c>
      <c r="S163" s="285">
        <f t="shared" si="31"/>
        <v>0.15112458010807653</v>
      </c>
      <c r="T163" s="270">
        <f t="shared" si="32"/>
        <v>932.53619631901813</v>
      </c>
      <c r="U163" s="270">
        <f t="shared" si="35"/>
        <v>102.21380368098187</v>
      </c>
      <c r="V163" s="284">
        <f t="shared" si="36"/>
        <v>-437164</v>
      </c>
      <c r="W163" s="337"/>
      <c r="X163" s="233">
        <f t="shared" si="37"/>
        <v>-28869.436201780412</v>
      </c>
      <c r="Y163" s="250">
        <f t="shared" si="38"/>
        <v>-408294.56379821961</v>
      </c>
    </row>
    <row r="164" spans="1:25" x14ac:dyDescent="0.25">
      <c r="A164" s="108">
        <f>Données!A164</f>
        <v>5680</v>
      </c>
      <c r="B164" s="116" t="str">
        <f>Données!B164</f>
        <v>Ogens</v>
      </c>
      <c r="C164" s="249">
        <f>Données!C164</f>
        <v>342</v>
      </c>
      <c r="D164" s="262"/>
      <c r="E164" s="246">
        <f>Données!X164</f>
        <v>337</v>
      </c>
      <c r="F164" s="283">
        <f t="shared" si="26"/>
        <v>0.98538011695906436</v>
      </c>
      <c r="G164" s="262">
        <f t="shared" si="27"/>
        <v>256.53961389961387</v>
      </c>
      <c r="H164" s="270">
        <f t="shared" si="33"/>
        <v>80.460386100386131</v>
      </c>
      <c r="I164" s="284">
        <f t="shared" si="34"/>
        <v>-8603</v>
      </c>
      <c r="J164" s="262"/>
      <c r="K164" s="271">
        <f>Données!Y164</f>
        <v>0</v>
      </c>
      <c r="L164" s="418">
        <f>Données!Z164</f>
        <v>0.16900000000000001</v>
      </c>
      <c r="M164" s="262">
        <f t="shared" si="28"/>
        <v>99.385707220573693</v>
      </c>
      <c r="N164" s="284">
        <f t="shared" si="29"/>
        <v>0</v>
      </c>
      <c r="O164" s="262"/>
      <c r="P164" s="246">
        <f>Données!AA164</f>
        <v>55</v>
      </c>
      <c r="Q164" s="281">
        <f>Données!AB164</f>
        <v>53</v>
      </c>
      <c r="R164" s="233">
        <f t="shared" si="30"/>
        <v>62.95</v>
      </c>
      <c r="S164" s="285">
        <f t="shared" si="31"/>
        <v>0.18406432748538012</v>
      </c>
      <c r="T164" s="270">
        <f t="shared" si="32"/>
        <v>46.579141104294465</v>
      </c>
      <c r="U164" s="270">
        <f t="shared" si="35"/>
        <v>16.370858895705538</v>
      </c>
      <c r="V164" s="284">
        <f t="shared" si="36"/>
        <v>-70017</v>
      </c>
      <c r="W164" s="337"/>
      <c r="X164" s="233">
        <f t="shared" si="37"/>
        <v>-34001.780415430265</v>
      </c>
      <c r="Y164" s="250">
        <f t="shared" si="38"/>
        <v>-36015.219584569735</v>
      </c>
    </row>
    <row r="165" spans="1:25" x14ac:dyDescent="0.25">
      <c r="A165" s="108">
        <f>Données!A165</f>
        <v>5683</v>
      </c>
      <c r="B165" s="116" t="str">
        <f>Données!B165</f>
        <v>Prévonloup</v>
      </c>
      <c r="C165" s="249">
        <f>Données!C165</f>
        <v>249</v>
      </c>
      <c r="D165" s="262"/>
      <c r="E165" s="246">
        <f>Données!X165</f>
        <v>181</v>
      </c>
      <c r="F165" s="283">
        <f t="shared" si="26"/>
        <v>0.7269076305220884</v>
      </c>
      <c r="G165" s="262">
        <f t="shared" si="27"/>
        <v>186.77884169884169</v>
      </c>
      <c r="H165" s="270">
        <f t="shared" si="33"/>
        <v>0</v>
      </c>
      <c r="I165" s="284">
        <f t="shared" si="34"/>
        <v>0</v>
      </c>
      <c r="J165" s="262"/>
      <c r="K165" s="271">
        <f>Données!Y165</f>
        <v>249</v>
      </c>
      <c r="L165" s="418">
        <f>Données!Z165</f>
        <v>5.0000000000000001E-3</v>
      </c>
      <c r="M165" s="262">
        <f t="shared" si="28"/>
        <v>2.9404055390702273</v>
      </c>
      <c r="N165" s="284">
        <f t="shared" si="29"/>
        <v>-732</v>
      </c>
      <c r="O165" s="262"/>
      <c r="P165" s="246">
        <f>Données!AA165</f>
        <v>35</v>
      </c>
      <c r="Q165" s="281">
        <f>Données!AB165</f>
        <v>35</v>
      </c>
      <c r="R165" s="233">
        <f t="shared" si="30"/>
        <v>40.25</v>
      </c>
      <c r="S165" s="285">
        <f t="shared" si="31"/>
        <v>0.16164658634538154</v>
      </c>
      <c r="T165" s="270">
        <f t="shared" si="32"/>
        <v>33.912883435582813</v>
      </c>
      <c r="U165" s="270">
        <f t="shared" si="35"/>
        <v>6.3371165644171867</v>
      </c>
      <c r="V165" s="284">
        <f t="shared" si="36"/>
        <v>-27104</v>
      </c>
      <c r="W165" s="337"/>
      <c r="X165" s="233">
        <f t="shared" si="37"/>
        <v>-22454.005934718101</v>
      </c>
      <c r="Y165" s="250">
        <f t="shared" si="38"/>
        <v>-4649.9940652818987</v>
      </c>
    </row>
    <row r="166" spans="1:25" x14ac:dyDescent="0.25">
      <c r="A166" s="108">
        <f>Données!A166</f>
        <v>5684</v>
      </c>
      <c r="B166" s="116" t="str">
        <f>Données!B166</f>
        <v>Rossenges</v>
      </c>
      <c r="C166" s="249">
        <f>Données!C166</f>
        <v>82</v>
      </c>
      <c r="D166" s="262"/>
      <c r="E166" s="246">
        <f>Données!X166</f>
        <v>106</v>
      </c>
      <c r="F166" s="283">
        <f t="shared" si="26"/>
        <v>1.2926829268292683</v>
      </c>
      <c r="G166" s="262">
        <f t="shared" si="27"/>
        <v>61.509498069498065</v>
      </c>
      <c r="H166" s="270">
        <f t="shared" si="33"/>
        <v>44.490501930501935</v>
      </c>
      <c r="I166" s="284">
        <f t="shared" si="34"/>
        <v>-4757</v>
      </c>
      <c r="J166" s="262"/>
      <c r="K166" s="271">
        <f>Données!Y166</f>
        <v>0</v>
      </c>
      <c r="L166" s="418">
        <f>Données!Z166</f>
        <v>6.3E-2</v>
      </c>
      <c r="M166" s="262">
        <f t="shared" si="28"/>
        <v>37.049109792284867</v>
      </c>
      <c r="N166" s="284">
        <f t="shared" si="29"/>
        <v>0</v>
      </c>
      <c r="O166" s="262"/>
      <c r="P166" s="246">
        <f>Données!AA166</f>
        <v>7</v>
      </c>
      <c r="Q166" s="281">
        <f>Données!AB166</f>
        <v>7</v>
      </c>
      <c r="R166" s="233">
        <f t="shared" si="30"/>
        <v>8.0500000000000007</v>
      </c>
      <c r="S166" s="285">
        <f t="shared" si="31"/>
        <v>9.8170731707317077E-2</v>
      </c>
      <c r="T166" s="270">
        <f t="shared" si="32"/>
        <v>11.168098159509199</v>
      </c>
      <c r="U166" s="270">
        <f t="shared" si="35"/>
        <v>0</v>
      </c>
      <c r="V166" s="284">
        <f t="shared" si="36"/>
        <v>0</v>
      </c>
      <c r="W166" s="337"/>
      <c r="X166" s="233">
        <f t="shared" si="37"/>
        <v>0</v>
      </c>
      <c r="Y166" s="250">
        <f t="shared" si="38"/>
        <v>0</v>
      </c>
    </row>
    <row r="167" spans="1:25" x14ac:dyDescent="0.25">
      <c r="A167" s="108">
        <f>Données!A167</f>
        <v>5688</v>
      </c>
      <c r="B167" s="116" t="str">
        <f>Données!B167</f>
        <v>Syens</v>
      </c>
      <c r="C167" s="249">
        <f>Données!C167</f>
        <v>144</v>
      </c>
      <c r="D167" s="262"/>
      <c r="E167" s="246">
        <f>Données!X167</f>
        <v>251</v>
      </c>
      <c r="F167" s="283">
        <f t="shared" si="26"/>
        <v>1.7430555555555556</v>
      </c>
      <c r="G167" s="262">
        <f t="shared" si="27"/>
        <v>108.01667953667953</v>
      </c>
      <c r="H167" s="270">
        <f t="shared" si="33"/>
        <v>142.98332046332047</v>
      </c>
      <c r="I167" s="284">
        <f t="shared" si="34"/>
        <v>-15288</v>
      </c>
      <c r="J167" s="262"/>
      <c r="K167" s="271">
        <f>Données!Y167</f>
        <v>0</v>
      </c>
      <c r="L167" s="418">
        <f>Données!Z167</f>
        <v>0.21199999999999999</v>
      </c>
      <c r="M167" s="262">
        <f t="shared" si="28"/>
        <v>124.67319485657764</v>
      </c>
      <c r="N167" s="284">
        <f t="shared" si="29"/>
        <v>0</v>
      </c>
      <c r="O167" s="262"/>
      <c r="P167" s="246">
        <f>Données!AA167</f>
        <v>18</v>
      </c>
      <c r="Q167" s="281">
        <f>Données!AB167</f>
        <v>18</v>
      </c>
      <c r="R167" s="233">
        <f t="shared" si="30"/>
        <v>20.7</v>
      </c>
      <c r="S167" s="285">
        <f t="shared" si="31"/>
        <v>0.14374999999999999</v>
      </c>
      <c r="T167" s="270">
        <f t="shared" si="32"/>
        <v>19.6122699386503</v>
      </c>
      <c r="U167" s="270">
        <f t="shared" si="35"/>
        <v>1.0877300613496992</v>
      </c>
      <c r="V167" s="284">
        <f t="shared" si="36"/>
        <v>-4652</v>
      </c>
      <c r="W167" s="337"/>
      <c r="X167" s="233">
        <f t="shared" si="37"/>
        <v>-4652</v>
      </c>
      <c r="Y167" s="250">
        <f t="shared" si="38"/>
        <v>0</v>
      </c>
    </row>
    <row r="168" spans="1:25" x14ac:dyDescent="0.25">
      <c r="A168" s="108">
        <f>Données!A168</f>
        <v>5690</v>
      </c>
      <c r="B168" s="116" t="str">
        <f>Données!B168</f>
        <v>Villars-le-Comte</v>
      </c>
      <c r="C168" s="249">
        <f>Données!C168</f>
        <v>129</v>
      </c>
      <c r="D168" s="262"/>
      <c r="E168" s="246">
        <f>Données!X168</f>
        <v>419</v>
      </c>
      <c r="F168" s="283">
        <f t="shared" si="26"/>
        <v>3.248062015503876</v>
      </c>
      <c r="G168" s="262">
        <f t="shared" si="27"/>
        <v>96.764942084942078</v>
      </c>
      <c r="H168" s="270">
        <f t="shared" si="33"/>
        <v>322.23505791505795</v>
      </c>
      <c r="I168" s="284">
        <f t="shared" si="34"/>
        <v>-34455</v>
      </c>
      <c r="J168" s="262"/>
      <c r="K168" s="271">
        <f>Données!Y168</f>
        <v>124</v>
      </c>
      <c r="L168" s="418">
        <f>Données!Z168</f>
        <v>4.2000000000000003E-2</v>
      </c>
      <c r="M168" s="262">
        <f t="shared" si="28"/>
        <v>24.699406528189911</v>
      </c>
      <c r="N168" s="284">
        <f t="shared" si="29"/>
        <v>-3063</v>
      </c>
      <c r="O168" s="262"/>
      <c r="P168" s="246">
        <f>Données!AA168</f>
        <v>14</v>
      </c>
      <c r="Q168" s="281">
        <f>Données!AB168</f>
        <v>14</v>
      </c>
      <c r="R168" s="233">
        <f t="shared" si="30"/>
        <v>16.100000000000001</v>
      </c>
      <c r="S168" s="285">
        <f t="shared" si="31"/>
        <v>0.1248062015503876</v>
      </c>
      <c r="T168" s="270">
        <f t="shared" si="32"/>
        <v>17.56932515337423</v>
      </c>
      <c r="U168" s="270">
        <f t="shared" si="35"/>
        <v>0</v>
      </c>
      <c r="V168" s="284">
        <f t="shared" si="36"/>
        <v>0</v>
      </c>
      <c r="W168" s="337"/>
      <c r="X168" s="233">
        <f t="shared" si="37"/>
        <v>0</v>
      </c>
      <c r="Y168" s="250">
        <f t="shared" si="38"/>
        <v>0</v>
      </c>
    </row>
    <row r="169" spans="1:25" x14ac:dyDescent="0.25">
      <c r="A169" s="108">
        <f>Données!A169</f>
        <v>5692</v>
      </c>
      <c r="B169" s="116" t="str">
        <f>Données!B169</f>
        <v>Vucherens</v>
      </c>
      <c r="C169" s="249">
        <f>Données!C169</f>
        <v>634</v>
      </c>
      <c r="D169" s="262"/>
      <c r="E169" s="246">
        <f>Données!X169</f>
        <v>323</v>
      </c>
      <c r="F169" s="283">
        <f t="shared" si="26"/>
        <v>0.50946372239747639</v>
      </c>
      <c r="G169" s="262">
        <f t="shared" si="27"/>
        <v>475.57343629343626</v>
      </c>
      <c r="H169" s="270">
        <f t="shared" si="33"/>
        <v>0</v>
      </c>
      <c r="I169" s="284">
        <f t="shared" si="34"/>
        <v>0</v>
      </c>
      <c r="J169" s="262"/>
      <c r="K169" s="271">
        <f>Données!Y169</f>
        <v>120</v>
      </c>
      <c r="L169" s="418">
        <f>Données!Z169</f>
        <v>0.14699999999999999</v>
      </c>
      <c r="M169" s="262">
        <f t="shared" si="28"/>
        <v>86.447922848664675</v>
      </c>
      <c r="N169" s="284">
        <f t="shared" si="29"/>
        <v>-10374</v>
      </c>
      <c r="O169" s="262"/>
      <c r="P169" s="246">
        <f>Données!AA169</f>
        <v>96</v>
      </c>
      <c r="Q169" s="281">
        <f>Données!AB169</f>
        <v>86</v>
      </c>
      <c r="R169" s="233">
        <f t="shared" si="30"/>
        <v>108.9</v>
      </c>
      <c r="S169" s="285">
        <f t="shared" si="31"/>
        <v>0.17176656151419559</v>
      </c>
      <c r="T169" s="270">
        <f t="shared" si="32"/>
        <v>86.34846625766869</v>
      </c>
      <c r="U169" s="270">
        <f t="shared" si="35"/>
        <v>22.551533742331316</v>
      </c>
      <c r="V169" s="284">
        <f t="shared" si="36"/>
        <v>-96452</v>
      </c>
      <c r="W169" s="337"/>
      <c r="X169" s="233">
        <f t="shared" si="37"/>
        <v>-55172.7002967359</v>
      </c>
      <c r="Y169" s="250">
        <f t="shared" si="38"/>
        <v>-41279.2997032641</v>
      </c>
    </row>
    <row r="170" spans="1:25" x14ac:dyDescent="0.25">
      <c r="A170" s="108">
        <f>Données!A170</f>
        <v>5693</v>
      </c>
      <c r="B170" s="116" t="str">
        <f>Données!B170</f>
        <v>Montanaire</v>
      </c>
      <c r="C170" s="249">
        <f>Données!C170</f>
        <v>2856</v>
      </c>
      <c r="D170" s="262"/>
      <c r="E170" s="246">
        <f>Données!X170</f>
        <v>3342</v>
      </c>
      <c r="F170" s="283">
        <f t="shared" si="26"/>
        <v>1.1701680672268908</v>
      </c>
      <c r="G170" s="262">
        <f t="shared" si="27"/>
        <v>2142.3308108108108</v>
      </c>
      <c r="H170" s="270">
        <f t="shared" si="33"/>
        <v>1199.6691891891892</v>
      </c>
      <c r="I170" s="284">
        <f t="shared" si="34"/>
        <v>-128273</v>
      </c>
      <c r="J170" s="262"/>
      <c r="K170" s="271">
        <f>Données!Y170</f>
        <v>2594</v>
      </c>
      <c r="L170" s="418">
        <f>Données!Z170</f>
        <v>6.7000000000000004E-2</v>
      </c>
      <c r="M170" s="262">
        <f t="shared" si="28"/>
        <v>39.401434223541052</v>
      </c>
      <c r="N170" s="284">
        <f t="shared" si="29"/>
        <v>-102207</v>
      </c>
      <c r="O170" s="262"/>
      <c r="P170" s="246">
        <f>Données!AA170</f>
        <v>387</v>
      </c>
      <c r="Q170" s="281">
        <f>Données!AB170</f>
        <v>261</v>
      </c>
      <c r="R170" s="233">
        <f t="shared" si="30"/>
        <v>426.15</v>
      </c>
      <c r="S170" s="285">
        <f t="shared" si="31"/>
        <v>0.14921218487394958</v>
      </c>
      <c r="T170" s="270">
        <f t="shared" si="32"/>
        <v>388.97668711656434</v>
      </c>
      <c r="U170" s="270">
        <f t="shared" si="35"/>
        <v>37.173312883435642</v>
      </c>
      <c r="V170" s="284">
        <f t="shared" si="36"/>
        <v>-158989</v>
      </c>
      <c r="W170" s="337"/>
      <c r="X170" s="233">
        <f t="shared" si="37"/>
        <v>-158989</v>
      </c>
      <c r="Y170" s="250">
        <f t="shared" si="38"/>
        <v>0</v>
      </c>
    </row>
    <row r="171" spans="1:25" x14ac:dyDescent="0.25">
      <c r="A171" s="108">
        <f>Données!A171</f>
        <v>5701</v>
      </c>
      <c r="B171" s="116" t="str">
        <f>Données!B171</f>
        <v>Arnex-sur-Nyon</v>
      </c>
      <c r="C171" s="249">
        <f>Données!C171</f>
        <v>274</v>
      </c>
      <c r="D171" s="262"/>
      <c r="E171" s="246">
        <f>Données!X171</f>
        <v>208</v>
      </c>
      <c r="F171" s="283">
        <f t="shared" si="26"/>
        <v>0.75912408759124084</v>
      </c>
      <c r="G171" s="262">
        <f t="shared" si="27"/>
        <v>205.53173745173743</v>
      </c>
      <c r="H171" s="270">
        <f t="shared" si="33"/>
        <v>2.4682625482625724</v>
      </c>
      <c r="I171" s="284">
        <f t="shared" si="34"/>
        <v>-264</v>
      </c>
      <c r="J171" s="262"/>
      <c r="K171" s="271">
        <f>Données!Y171</f>
        <v>0</v>
      </c>
      <c r="L171" s="418">
        <f>Données!Z171</f>
        <v>2.9000000000000001E-2</v>
      </c>
      <c r="M171" s="262">
        <f t="shared" si="28"/>
        <v>17.05435212660732</v>
      </c>
      <c r="N171" s="284">
        <f t="shared" si="29"/>
        <v>0</v>
      </c>
      <c r="O171" s="262"/>
      <c r="P171" s="246">
        <f>Données!AA171</f>
        <v>14</v>
      </c>
      <c r="Q171" s="281">
        <f>Données!AB171</f>
        <v>5</v>
      </c>
      <c r="R171" s="233">
        <f t="shared" si="30"/>
        <v>14.75</v>
      </c>
      <c r="S171" s="285">
        <f t="shared" si="31"/>
        <v>5.3832116788321165E-2</v>
      </c>
      <c r="T171" s="270">
        <f t="shared" si="32"/>
        <v>37.317791411042933</v>
      </c>
      <c r="U171" s="270">
        <f t="shared" si="35"/>
        <v>0</v>
      </c>
      <c r="V171" s="284">
        <f t="shared" si="36"/>
        <v>0</v>
      </c>
      <c r="W171" s="337"/>
      <c r="X171" s="233">
        <f t="shared" si="37"/>
        <v>0</v>
      </c>
      <c r="Y171" s="250">
        <f t="shared" si="38"/>
        <v>0</v>
      </c>
    </row>
    <row r="172" spans="1:25" x14ac:dyDescent="0.25">
      <c r="A172" s="108">
        <f>Données!A172</f>
        <v>5702</v>
      </c>
      <c r="B172" s="116" t="str">
        <f>Données!B172</f>
        <v>Arzier-Le Muids</v>
      </c>
      <c r="C172" s="249">
        <f>Données!C172</f>
        <v>2999</v>
      </c>
      <c r="D172" s="262"/>
      <c r="E172" s="246">
        <f>Données!X172</f>
        <v>5165</v>
      </c>
      <c r="F172" s="283">
        <f t="shared" si="26"/>
        <v>1.7222407469156384</v>
      </c>
      <c r="G172" s="262">
        <f t="shared" si="27"/>
        <v>2249.5973745173742</v>
      </c>
      <c r="H172" s="270">
        <f t="shared" si="33"/>
        <v>2915.4026254826258</v>
      </c>
      <c r="I172" s="284">
        <f t="shared" si="34"/>
        <v>-311726</v>
      </c>
      <c r="J172" s="262"/>
      <c r="K172" s="271">
        <f>Données!Y172</f>
        <v>2428</v>
      </c>
      <c r="L172" s="418">
        <f>Données!Z172</f>
        <v>0.251</v>
      </c>
      <c r="M172" s="262">
        <f t="shared" si="28"/>
        <v>147.60835806132542</v>
      </c>
      <c r="N172" s="284">
        <f t="shared" si="29"/>
        <v>-358393</v>
      </c>
      <c r="O172" s="262"/>
      <c r="P172" s="246">
        <f>Données!AA172</f>
        <v>389</v>
      </c>
      <c r="Q172" s="281">
        <f>Données!AB172</f>
        <v>193</v>
      </c>
      <c r="R172" s="233">
        <f t="shared" si="30"/>
        <v>417.95</v>
      </c>
      <c r="S172" s="285">
        <f t="shared" si="31"/>
        <v>0.13936312104034679</v>
      </c>
      <c r="T172" s="270">
        <f t="shared" si="32"/>
        <v>408.45276073619618</v>
      </c>
      <c r="U172" s="270">
        <f t="shared" si="35"/>
        <v>9.4972392638038059</v>
      </c>
      <c r="V172" s="284">
        <f t="shared" si="36"/>
        <v>-40619</v>
      </c>
      <c r="W172" s="337"/>
      <c r="X172" s="233">
        <f t="shared" si="37"/>
        <v>-40619</v>
      </c>
      <c r="Y172" s="250">
        <f t="shared" si="38"/>
        <v>0</v>
      </c>
    </row>
    <row r="173" spans="1:25" x14ac:dyDescent="0.25">
      <c r="A173" s="108">
        <f>Données!A173</f>
        <v>5703</v>
      </c>
      <c r="B173" s="116" t="str">
        <f>Données!B173</f>
        <v>Bassins</v>
      </c>
      <c r="C173" s="249">
        <f>Données!C173</f>
        <v>1468</v>
      </c>
      <c r="D173" s="262"/>
      <c r="E173" s="246">
        <f>Données!X173</f>
        <v>2078</v>
      </c>
      <c r="F173" s="283">
        <f t="shared" si="26"/>
        <v>1.4155313351498637</v>
      </c>
      <c r="G173" s="262">
        <f t="shared" si="27"/>
        <v>1101.1700386100385</v>
      </c>
      <c r="H173" s="270">
        <f t="shared" si="33"/>
        <v>976.82996138996145</v>
      </c>
      <c r="I173" s="284">
        <f t="shared" si="34"/>
        <v>-104446</v>
      </c>
      <c r="J173" s="262"/>
      <c r="K173" s="271">
        <f>Données!Y173</f>
        <v>1166</v>
      </c>
      <c r="L173" s="418">
        <f>Données!Z173</f>
        <v>0.20699999999999999</v>
      </c>
      <c r="M173" s="262">
        <f t="shared" si="28"/>
        <v>121.73278931750741</v>
      </c>
      <c r="N173" s="284">
        <f t="shared" si="29"/>
        <v>-141940</v>
      </c>
      <c r="O173" s="262"/>
      <c r="P173" s="246">
        <f>Données!AA173</f>
        <v>156</v>
      </c>
      <c r="Q173" s="281">
        <f>Données!AB173</f>
        <v>55</v>
      </c>
      <c r="R173" s="233">
        <f t="shared" si="30"/>
        <v>164.25</v>
      </c>
      <c r="S173" s="285">
        <f t="shared" si="31"/>
        <v>0.11188692098092642</v>
      </c>
      <c r="T173" s="270">
        <f t="shared" si="32"/>
        <v>199.93619631901836</v>
      </c>
      <c r="U173" s="270">
        <f t="shared" si="35"/>
        <v>0</v>
      </c>
      <c r="V173" s="284">
        <f t="shared" si="36"/>
        <v>0</v>
      </c>
      <c r="W173" s="337"/>
      <c r="X173" s="233">
        <f t="shared" si="37"/>
        <v>0</v>
      </c>
      <c r="Y173" s="250">
        <f t="shared" si="38"/>
        <v>0</v>
      </c>
    </row>
    <row r="174" spans="1:25" x14ac:dyDescent="0.25">
      <c r="A174" s="108">
        <f>Données!A174</f>
        <v>5704</v>
      </c>
      <c r="B174" s="116" t="str">
        <f>Données!B174</f>
        <v>Begnins</v>
      </c>
      <c r="C174" s="249">
        <f>Données!C174</f>
        <v>2047</v>
      </c>
      <c r="D174" s="262"/>
      <c r="E174" s="246">
        <f>Données!X174</f>
        <v>478</v>
      </c>
      <c r="F174" s="283">
        <f t="shared" si="26"/>
        <v>0.2335124572545188</v>
      </c>
      <c r="G174" s="262">
        <f t="shared" si="27"/>
        <v>1535.4871042471041</v>
      </c>
      <c r="H174" s="270">
        <f t="shared" si="33"/>
        <v>0</v>
      </c>
      <c r="I174" s="284">
        <f t="shared" si="34"/>
        <v>0</v>
      </c>
      <c r="J174" s="262"/>
      <c r="K174" s="271">
        <f>Données!Y174</f>
        <v>0</v>
      </c>
      <c r="L174" s="418">
        <f>Données!Z174</f>
        <v>0.126</v>
      </c>
      <c r="M174" s="262">
        <f t="shared" si="28"/>
        <v>74.098219584569733</v>
      </c>
      <c r="N174" s="284">
        <f t="shared" si="29"/>
        <v>0</v>
      </c>
      <c r="O174" s="262"/>
      <c r="P174" s="246">
        <f>Données!AA174</f>
        <v>181</v>
      </c>
      <c r="Q174" s="281">
        <f>Données!AB174</f>
        <v>45</v>
      </c>
      <c r="R174" s="233">
        <f t="shared" si="30"/>
        <v>187.75</v>
      </c>
      <c r="S174" s="285">
        <f t="shared" si="31"/>
        <v>9.1719589643380561E-2</v>
      </c>
      <c r="T174" s="270">
        <f t="shared" si="32"/>
        <v>278.79386503067479</v>
      </c>
      <c r="U174" s="270">
        <f t="shared" si="35"/>
        <v>0</v>
      </c>
      <c r="V174" s="284">
        <f t="shared" si="36"/>
        <v>0</v>
      </c>
      <c r="W174" s="337"/>
      <c r="X174" s="233">
        <f t="shared" si="37"/>
        <v>0</v>
      </c>
      <c r="Y174" s="250">
        <f t="shared" si="38"/>
        <v>0</v>
      </c>
    </row>
    <row r="175" spans="1:25" x14ac:dyDescent="0.25">
      <c r="A175" s="108">
        <f>Données!A175</f>
        <v>5705</v>
      </c>
      <c r="B175" s="116" t="str">
        <f>Données!B175</f>
        <v>Bogis-Bossey</v>
      </c>
      <c r="C175" s="249">
        <f>Données!C175</f>
        <v>961</v>
      </c>
      <c r="D175" s="262"/>
      <c r="E175" s="246">
        <f>Données!X175</f>
        <v>242</v>
      </c>
      <c r="F175" s="283">
        <f t="shared" si="26"/>
        <v>0.2518210197710718</v>
      </c>
      <c r="G175" s="262">
        <f t="shared" si="27"/>
        <v>720.86131274131264</v>
      </c>
      <c r="H175" s="270">
        <f t="shared" si="33"/>
        <v>0</v>
      </c>
      <c r="I175" s="284">
        <f t="shared" si="34"/>
        <v>0</v>
      </c>
      <c r="J175" s="262"/>
      <c r="K175" s="271">
        <f>Données!Y175</f>
        <v>0</v>
      </c>
      <c r="L175" s="418">
        <f>Données!Z175</f>
        <v>8.9999999999999993E-3</v>
      </c>
      <c r="M175" s="262">
        <f t="shared" si="28"/>
        <v>5.292729970326409</v>
      </c>
      <c r="N175" s="284">
        <f t="shared" si="29"/>
        <v>0</v>
      </c>
      <c r="O175" s="262"/>
      <c r="P175" s="246">
        <f>Données!AA175</f>
        <v>104</v>
      </c>
      <c r="Q175" s="281">
        <f>Données!AB175</f>
        <v>57</v>
      </c>
      <c r="R175" s="233">
        <f t="shared" si="30"/>
        <v>112.55</v>
      </c>
      <c r="S175" s="285">
        <f t="shared" si="31"/>
        <v>0.11711758584807491</v>
      </c>
      <c r="T175" s="270">
        <f t="shared" si="32"/>
        <v>130.88466257668708</v>
      </c>
      <c r="U175" s="270">
        <f t="shared" si="35"/>
        <v>0</v>
      </c>
      <c r="V175" s="284">
        <f t="shared" si="36"/>
        <v>0</v>
      </c>
      <c r="W175" s="337"/>
      <c r="X175" s="233">
        <f t="shared" si="37"/>
        <v>0</v>
      </c>
      <c r="Y175" s="250">
        <f t="shared" si="38"/>
        <v>0</v>
      </c>
    </row>
    <row r="176" spans="1:25" x14ac:dyDescent="0.25">
      <c r="A176" s="108">
        <f>Données!A176</f>
        <v>5706</v>
      </c>
      <c r="B176" s="116" t="str">
        <f>Données!B176</f>
        <v>Borex</v>
      </c>
      <c r="C176" s="249">
        <f>Données!C176</f>
        <v>1168</v>
      </c>
      <c r="D176" s="262"/>
      <c r="E176" s="246">
        <f>Données!X176</f>
        <v>196</v>
      </c>
      <c r="F176" s="283">
        <f t="shared" si="26"/>
        <v>0.1678082191780822</v>
      </c>
      <c r="G176" s="262">
        <f t="shared" si="27"/>
        <v>876.13528957528945</v>
      </c>
      <c r="H176" s="270">
        <f t="shared" si="33"/>
        <v>0</v>
      </c>
      <c r="I176" s="284">
        <f t="shared" si="34"/>
        <v>0</v>
      </c>
      <c r="J176" s="262"/>
      <c r="K176" s="271">
        <f>Données!Y176</f>
        <v>0</v>
      </c>
      <c r="L176" s="418">
        <f>Données!Z176</f>
        <v>0.01</v>
      </c>
      <c r="M176" s="262">
        <f t="shared" si="28"/>
        <v>5.8808110781404546</v>
      </c>
      <c r="N176" s="284">
        <f t="shared" si="29"/>
        <v>0</v>
      </c>
      <c r="O176" s="262"/>
      <c r="P176" s="246">
        <f>Données!AA176</f>
        <v>132</v>
      </c>
      <c r="Q176" s="281">
        <f>Données!AB176</f>
        <v>61</v>
      </c>
      <c r="R176" s="233">
        <f t="shared" si="30"/>
        <v>141.15</v>
      </c>
      <c r="S176" s="285">
        <f t="shared" si="31"/>
        <v>0.12084760273972603</v>
      </c>
      <c r="T176" s="270">
        <f t="shared" si="32"/>
        <v>159.0773006134969</v>
      </c>
      <c r="U176" s="270">
        <f t="shared" si="35"/>
        <v>0</v>
      </c>
      <c r="V176" s="284">
        <f t="shared" si="36"/>
        <v>0</v>
      </c>
      <c r="W176" s="337"/>
      <c r="X176" s="233">
        <f t="shared" si="37"/>
        <v>0</v>
      </c>
      <c r="Y176" s="250">
        <f t="shared" si="38"/>
        <v>0</v>
      </c>
    </row>
    <row r="177" spans="1:25" x14ac:dyDescent="0.25">
      <c r="A177" s="108">
        <f>Données!A177</f>
        <v>5707</v>
      </c>
      <c r="B177" s="116" t="str">
        <f>Données!B177</f>
        <v>Chavannes-de-Bogis</v>
      </c>
      <c r="C177" s="249">
        <f>Données!C177</f>
        <v>1423</v>
      </c>
      <c r="D177" s="262"/>
      <c r="E177" s="246">
        <f>Données!X177</f>
        <v>274</v>
      </c>
      <c r="F177" s="283">
        <f t="shared" si="26"/>
        <v>0.19255094869992972</v>
      </c>
      <c r="G177" s="262">
        <f t="shared" si="27"/>
        <v>1067.4148262548263</v>
      </c>
      <c r="H177" s="270">
        <f t="shared" si="33"/>
        <v>0</v>
      </c>
      <c r="I177" s="284">
        <f t="shared" si="34"/>
        <v>0</v>
      </c>
      <c r="J177" s="262"/>
      <c r="K177" s="271">
        <f>Données!Y177</f>
        <v>0</v>
      </c>
      <c r="L177" s="418">
        <f>Données!Z177</f>
        <v>0.01</v>
      </c>
      <c r="M177" s="262">
        <f t="shared" si="28"/>
        <v>5.8808110781404546</v>
      </c>
      <c r="N177" s="284">
        <f t="shared" si="29"/>
        <v>0</v>
      </c>
      <c r="O177" s="262"/>
      <c r="P177" s="246">
        <f>Données!AA177</f>
        <v>172</v>
      </c>
      <c r="Q177" s="281">
        <f>Données!AB177</f>
        <v>86</v>
      </c>
      <c r="R177" s="233">
        <f t="shared" si="30"/>
        <v>184.9</v>
      </c>
      <c r="S177" s="285">
        <f t="shared" si="31"/>
        <v>0.12993675333801827</v>
      </c>
      <c r="T177" s="270">
        <f t="shared" si="32"/>
        <v>193.80736196319012</v>
      </c>
      <c r="U177" s="270">
        <f t="shared" si="35"/>
        <v>0</v>
      </c>
      <c r="V177" s="284">
        <f t="shared" si="36"/>
        <v>0</v>
      </c>
      <c r="W177" s="337"/>
      <c r="X177" s="233">
        <f t="shared" si="37"/>
        <v>0</v>
      </c>
      <c r="Y177" s="250">
        <f t="shared" si="38"/>
        <v>0</v>
      </c>
    </row>
    <row r="178" spans="1:25" x14ac:dyDescent="0.25">
      <c r="A178" s="108">
        <f>Données!A178</f>
        <v>5708</v>
      </c>
      <c r="B178" s="116" t="str">
        <f>Données!B178</f>
        <v>Chavannes-des-Bois</v>
      </c>
      <c r="C178" s="249">
        <f>Données!C178</f>
        <v>983</v>
      </c>
      <c r="D178" s="262"/>
      <c r="E178" s="246">
        <f>Données!X178</f>
        <v>212</v>
      </c>
      <c r="F178" s="283">
        <f t="shared" si="26"/>
        <v>0.21566632756866735</v>
      </c>
      <c r="G178" s="262">
        <f t="shared" si="27"/>
        <v>737.36386100386096</v>
      </c>
      <c r="H178" s="270">
        <f t="shared" si="33"/>
        <v>0</v>
      </c>
      <c r="I178" s="284">
        <f t="shared" si="34"/>
        <v>0</v>
      </c>
      <c r="J178" s="262"/>
      <c r="K178" s="271">
        <f>Données!Y178</f>
        <v>0</v>
      </c>
      <c r="L178" s="418">
        <f>Données!Z178</f>
        <v>5.0000000000000001E-3</v>
      </c>
      <c r="M178" s="262">
        <f t="shared" si="28"/>
        <v>2.9404055390702273</v>
      </c>
      <c r="N178" s="284">
        <f t="shared" si="29"/>
        <v>0</v>
      </c>
      <c r="O178" s="262"/>
      <c r="P178" s="246">
        <f>Données!AA178</f>
        <v>105</v>
      </c>
      <c r="Q178" s="281">
        <f>Données!AB178</f>
        <v>105</v>
      </c>
      <c r="R178" s="233">
        <f t="shared" si="30"/>
        <v>120.75</v>
      </c>
      <c r="S178" s="285">
        <f t="shared" si="31"/>
        <v>0.1228382502543235</v>
      </c>
      <c r="T178" s="270">
        <f t="shared" si="32"/>
        <v>133.88098159509198</v>
      </c>
      <c r="U178" s="270">
        <f t="shared" si="35"/>
        <v>0</v>
      </c>
      <c r="V178" s="284">
        <f t="shared" si="36"/>
        <v>0</v>
      </c>
      <c r="W178" s="337"/>
      <c r="X178" s="233">
        <f t="shared" si="37"/>
        <v>0</v>
      </c>
      <c r="Y178" s="250">
        <f t="shared" si="38"/>
        <v>0</v>
      </c>
    </row>
    <row r="179" spans="1:25" x14ac:dyDescent="0.25">
      <c r="A179" s="108">
        <f>Données!A179</f>
        <v>5709</v>
      </c>
      <c r="B179" s="116" t="str">
        <f>Données!B179</f>
        <v>Chéserex</v>
      </c>
      <c r="C179" s="249">
        <f>Données!C179</f>
        <v>1272</v>
      </c>
      <c r="D179" s="262"/>
      <c r="E179" s="246">
        <f>Données!X179</f>
        <v>1043</v>
      </c>
      <c r="F179" s="283">
        <f t="shared" si="26"/>
        <v>0.81996855345911945</v>
      </c>
      <c r="G179" s="262">
        <f t="shared" si="27"/>
        <v>954.14733590733579</v>
      </c>
      <c r="H179" s="270">
        <f t="shared" si="33"/>
        <v>88.852664092664213</v>
      </c>
      <c r="I179" s="284">
        <f t="shared" si="34"/>
        <v>-9500</v>
      </c>
      <c r="J179" s="262"/>
      <c r="K179" s="271">
        <f>Données!Y179</f>
        <v>0</v>
      </c>
      <c r="L179" s="418">
        <f>Données!Z179</f>
        <v>0.22800000000000001</v>
      </c>
      <c r="M179" s="262">
        <f t="shared" si="28"/>
        <v>134.08249258160237</v>
      </c>
      <c r="N179" s="284">
        <f t="shared" si="29"/>
        <v>0</v>
      </c>
      <c r="O179" s="262"/>
      <c r="P179" s="246">
        <f>Données!AA179</f>
        <v>145</v>
      </c>
      <c r="Q179" s="281">
        <f>Données!AB179</f>
        <v>61</v>
      </c>
      <c r="R179" s="233">
        <f t="shared" si="30"/>
        <v>154.15</v>
      </c>
      <c r="S179" s="285">
        <f t="shared" si="31"/>
        <v>0.121187106918239</v>
      </c>
      <c r="T179" s="270">
        <f t="shared" si="32"/>
        <v>173.24171779141099</v>
      </c>
      <c r="U179" s="270">
        <f t="shared" si="35"/>
        <v>0</v>
      </c>
      <c r="V179" s="284">
        <f t="shared" si="36"/>
        <v>0</v>
      </c>
      <c r="W179" s="337"/>
      <c r="X179" s="233">
        <f t="shared" si="37"/>
        <v>0</v>
      </c>
      <c r="Y179" s="250">
        <f t="shared" si="38"/>
        <v>0</v>
      </c>
    </row>
    <row r="180" spans="1:25" x14ac:dyDescent="0.25">
      <c r="A180" s="108">
        <f>Données!A180</f>
        <v>5710</v>
      </c>
      <c r="B180" s="116" t="str">
        <f>Données!B180</f>
        <v>Coinsins</v>
      </c>
      <c r="C180" s="249">
        <f>Données!C180</f>
        <v>510</v>
      </c>
      <c r="D180" s="262"/>
      <c r="E180" s="246">
        <f>Données!X180</f>
        <v>294</v>
      </c>
      <c r="F180" s="283">
        <f t="shared" si="26"/>
        <v>0.57647058823529407</v>
      </c>
      <c r="G180" s="262">
        <f t="shared" si="27"/>
        <v>382.55907335907335</v>
      </c>
      <c r="H180" s="270">
        <f t="shared" si="33"/>
        <v>0</v>
      </c>
      <c r="I180" s="284">
        <f t="shared" si="34"/>
        <v>0</v>
      </c>
      <c r="J180" s="262"/>
      <c r="K180" s="271">
        <f>Données!Y180</f>
        <v>0</v>
      </c>
      <c r="L180" s="418">
        <f>Données!Z180</f>
        <v>2.9000000000000001E-2</v>
      </c>
      <c r="M180" s="262">
        <f t="shared" si="28"/>
        <v>17.05435212660732</v>
      </c>
      <c r="N180" s="284">
        <f t="shared" si="29"/>
        <v>0</v>
      </c>
      <c r="O180" s="262"/>
      <c r="P180" s="246">
        <f>Données!AA180</f>
        <v>59</v>
      </c>
      <c r="Q180" s="281">
        <f>Données!AB180</f>
        <v>20</v>
      </c>
      <c r="R180" s="233">
        <f t="shared" si="30"/>
        <v>62</v>
      </c>
      <c r="S180" s="285">
        <f t="shared" si="31"/>
        <v>0.12156862745098039</v>
      </c>
      <c r="T180" s="270">
        <f t="shared" si="32"/>
        <v>69.460122699386488</v>
      </c>
      <c r="U180" s="270">
        <f t="shared" si="35"/>
        <v>0</v>
      </c>
      <c r="V180" s="284">
        <f t="shared" si="36"/>
        <v>0</v>
      </c>
      <c r="W180" s="337"/>
      <c r="X180" s="233">
        <f t="shared" si="37"/>
        <v>0</v>
      </c>
      <c r="Y180" s="250">
        <f t="shared" si="38"/>
        <v>0</v>
      </c>
    </row>
    <row r="181" spans="1:25" x14ac:dyDescent="0.25">
      <c r="A181" s="108">
        <f>Données!A181</f>
        <v>5711</v>
      </c>
      <c r="B181" s="116" t="str">
        <f>Données!B181</f>
        <v>Commugny</v>
      </c>
      <c r="C181" s="249">
        <f>Données!C181</f>
        <v>2968</v>
      </c>
      <c r="D181" s="262"/>
      <c r="E181" s="246">
        <f>Données!X181</f>
        <v>650</v>
      </c>
      <c r="F181" s="283">
        <f t="shared" si="26"/>
        <v>0.21900269541778974</v>
      </c>
      <c r="G181" s="262">
        <f t="shared" si="27"/>
        <v>2226.3437837837837</v>
      </c>
      <c r="H181" s="270">
        <f t="shared" si="33"/>
        <v>0</v>
      </c>
      <c r="I181" s="284">
        <f t="shared" si="34"/>
        <v>0</v>
      </c>
      <c r="J181" s="262"/>
      <c r="K181" s="271">
        <f>Données!Y181</f>
        <v>0</v>
      </c>
      <c r="L181" s="418">
        <f>Données!Z181</f>
        <v>8.0000000000000002E-3</v>
      </c>
      <c r="M181" s="262">
        <f t="shared" si="28"/>
        <v>4.7046488625123644</v>
      </c>
      <c r="N181" s="284">
        <f t="shared" si="29"/>
        <v>0</v>
      </c>
      <c r="O181" s="262"/>
      <c r="P181" s="246">
        <f>Données!AA181</f>
        <v>282</v>
      </c>
      <c r="Q181" s="281">
        <f>Données!AB181</f>
        <v>14</v>
      </c>
      <c r="R181" s="233">
        <f t="shared" si="30"/>
        <v>284.10000000000002</v>
      </c>
      <c r="S181" s="285">
        <f t="shared" si="31"/>
        <v>9.5721024258760112E-2</v>
      </c>
      <c r="T181" s="270">
        <f t="shared" si="32"/>
        <v>404.23067484662567</v>
      </c>
      <c r="U181" s="270">
        <f t="shared" si="35"/>
        <v>0</v>
      </c>
      <c r="V181" s="284">
        <f t="shared" si="36"/>
        <v>0</v>
      </c>
      <c r="W181" s="337"/>
      <c r="X181" s="233">
        <f t="shared" si="37"/>
        <v>0</v>
      </c>
      <c r="Y181" s="250">
        <f t="shared" si="38"/>
        <v>0</v>
      </c>
    </row>
    <row r="182" spans="1:25" x14ac:dyDescent="0.25">
      <c r="A182" s="108">
        <f>Données!A182</f>
        <v>5712</v>
      </c>
      <c r="B182" s="116" t="str">
        <f>Données!B182</f>
        <v>Coppet</v>
      </c>
      <c r="C182" s="249">
        <f>Données!C182</f>
        <v>3233</v>
      </c>
      <c r="D182" s="262"/>
      <c r="E182" s="246">
        <f>Données!X182</f>
        <v>184</v>
      </c>
      <c r="F182" s="283">
        <f t="shared" si="26"/>
        <v>5.6913083823074542E-2</v>
      </c>
      <c r="G182" s="262">
        <f t="shared" si="27"/>
        <v>2425.1244787644787</v>
      </c>
      <c r="H182" s="270">
        <f t="shared" si="33"/>
        <v>0</v>
      </c>
      <c r="I182" s="284">
        <f t="shared" si="34"/>
        <v>0</v>
      </c>
      <c r="J182" s="262"/>
      <c r="K182" s="271">
        <f>Données!Y182</f>
        <v>2</v>
      </c>
      <c r="L182" s="418">
        <f>Données!Z182</f>
        <v>3.5999999999999997E-2</v>
      </c>
      <c r="M182" s="262">
        <f t="shared" si="28"/>
        <v>21.170919881305636</v>
      </c>
      <c r="N182" s="284">
        <f t="shared" si="29"/>
        <v>-42</v>
      </c>
      <c r="O182" s="262"/>
      <c r="P182" s="246">
        <f>Données!AA182</f>
        <v>296</v>
      </c>
      <c r="Q182" s="281">
        <f>Données!AB182</f>
        <v>2</v>
      </c>
      <c r="R182" s="233">
        <f t="shared" si="30"/>
        <v>296.3</v>
      </c>
      <c r="S182" s="285">
        <f t="shared" si="31"/>
        <v>9.1648623569440146E-2</v>
      </c>
      <c r="T182" s="270">
        <f t="shared" si="32"/>
        <v>440.32269938650296</v>
      </c>
      <c r="U182" s="270">
        <f t="shared" si="35"/>
        <v>0</v>
      </c>
      <c r="V182" s="284">
        <f t="shared" si="36"/>
        <v>0</v>
      </c>
      <c r="W182" s="337"/>
      <c r="X182" s="233">
        <f t="shared" si="37"/>
        <v>0</v>
      </c>
      <c r="Y182" s="250">
        <f t="shared" si="38"/>
        <v>0</v>
      </c>
    </row>
    <row r="183" spans="1:25" x14ac:dyDescent="0.25">
      <c r="A183" s="108">
        <f>Données!A183</f>
        <v>5713</v>
      </c>
      <c r="B183" s="116" t="str">
        <f>Données!B183</f>
        <v>Crans</v>
      </c>
      <c r="C183" s="249">
        <f>Données!C183</f>
        <v>2483</v>
      </c>
      <c r="D183" s="262"/>
      <c r="E183" s="246">
        <f>Données!X183</f>
        <v>428</v>
      </c>
      <c r="F183" s="283">
        <f t="shared" si="26"/>
        <v>0.17237213048731373</v>
      </c>
      <c r="G183" s="262">
        <f t="shared" si="27"/>
        <v>1862.537606177606</v>
      </c>
      <c r="H183" s="270">
        <f t="shared" si="33"/>
        <v>0</v>
      </c>
      <c r="I183" s="284">
        <f t="shared" si="34"/>
        <v>0</v>
      </c>
      <c r="J183" s="262"/>
      <c r="K183" s="271">
        <f>Données!Y183</f>
        <v>0</v>
      </c>
      <c r="L183" s="418">
        <f>Données!Z183</f>
        <v>3.5999999999999997E-2</v>
      </c>
      <c r="M183" s="262">
        <f t="shared" si="28"/>
        <v>21.170919881305636</v>
      </c>
      <c r="N183" s="284">
        <f t="shared" si="29"/>
        <v>0</v>
      </c>
      <c r="O183" s="262"/>
      <c r="P183" s="246">
        <f>Données!AA183</f>
        <v>250</v>
      </c>
      <c r="Q183" s="281">
        <f>Données!AB183</f>
        <v>125</v>
      </c>
      <c r="R183" s="233">
        <f t="shared" si="30"/>
        <v>268.75</v>
      </c>
      <c r="S183" s="285">
        <f t="shared" si="31"/>
        <v>0.10823600483286347</v>
      </c>
      <c r="T183" s="270">
        <f t="shared" si="32"/>
        <v>338.17546012269929</v>
      </c>
      <c r="U183" s="270">
        <f t="shared" si="35"/>
        <v>0</v>
      </c>
      <c r="V183" s="284">
        <f t="shared" si="36"/>
        <v>0</v>
      </c>
      <c r="W183" s="337"/>
      <c r="X183" s="233">
        <f t="shared" si="37"/>
        <v>0</v>
      </c>
      <c r="Y183" s="250">
        <f t="shared" si="38"/>
        <v>0</v>
      </c>
    </row>
    <row r="184" spans="1:25" x14ac:dyDescent="0.25">
      <c r="A184" s="108">
        <f>Données!A184</f>
        <v>5714</v>
      </c>
      <c r="B184" s="116" t="str">
        <f>Données!B184</f>
        <v>Crassier</v>
      </c>
      <c r="C184" s="249">
        <f>Données!C184</f>
        <v>1272</v>
      </c>
      <c r="D184" s="262"/>
      <c r="E184" s="246">
        <f>Données!X184</f>
        <v>202</v>
      </c>
      <c r="F184" s="283">
        <f t="shared" si="26"/>
        <v>0.15880503144654087</v>
      </c>
      <c r="G184" s="262">
        <f t="shared" si="27"/>
        <v>954.14733590733579</v>
      </c>
      <c r="H184" s="270">
        <f t="shared" si="33"/>
        <v>0</v>
      </c>
      <c r="I184" s="284">
        <f t="shared" si="34"/>
        <v>0</v>
      </c>
      <c r="J184" s="262"/>
      <c r="K184" s="271">
        <f>Données!Y184</f>
        <v>0</v>
      </c>
      <c r="L184" s="418">
        <f>Données!Z184</f>
        <v>1.6E-2</v>
      </c>
      <c r="M184" s="262">
        <f t="shared" si="28"/>
        <v>9.4092977250247287</v>
      </c>
      <c r="N184" s="284">
        <f t="shared" si="29"/>
        <v>0</v>
      </c>
      <c r="O184" s="262"/>
      <c r="P184" s="246">
        <f>Données!AA184</f>
        <v>149</v>
      </c>
      <c r="Q184" s="281">
        <f>Données!AB184</f>
        <v>27</v>
      </c>
      <c r="R184" s="233">
        <f t="shared" si="30"/>
        <v>153.05000000000001</v>
      </c>
      <c r="S184" s="285">
        <f t="shared" si="31"/>
        <v>0.12032232704402517</v>
      </c>
      <c r="T184" s="270">
        <f t="shared" si="32"/>
        <v>173.24171779141099</v>
      </c>
      <c r="U184" s="270">
        <f t="shared" si="35"/>
        <v>0</v>
      </c>
      <c r="V184" s="284">
        <f t="shared" si="36"/>
        <v>0</v>
      </c>
      <c r="W184" s="337"/>
      <c r="X184" s="233">
        <f t="shared" si="37"/>
        <v>0</v>
      </c>
      <c r="Y184" s="250">
        <f t="shared" si="38"/>
        <v>0</v>
      </c>
    </row>
    <row r="185" spans="1:25" x14ac:dyDescent="0.25">
      <c r="A185" s="108">
        <f>Données!A185</f>
        <v>5715</v>
      </c>
      <c r="B185" s="116" t="str">
        <f>Données!B185</f>
        <v>Duillier</v>
      </c>
      <c r="C185" s="249">
        <f>Données!C185</f>
        <v>1120</v>
      </c>
      <c r="D185" s="262"/>
      <c r="E185" s="246">
        <f>Données!X185</f>
        <v>405</v>
      </c>
      <c r="F185" s="283">
        <f t="shared" si="26"/>
        <v>0.36160714285714285</v>
      </c>
      <c r="G185" s="262">
        <f t="shared" si="27"/>
        <v>840.12972972972966</v>
      </c>
      <c r="H185" s="270">
        <f t="shared" si="33"/>
        <v>0</v>
      </c>
      <c r="I185" s="284">
        <f t="shared" si="34"/>
        <v>0</v>
      </c>
      <c r="J185" s="262"/>
      <c r="K185" s="271">
        <f>Données!Y185</f>
        <v>0</v>
      </c>
      <c r="L185" s="418">
        <f>Données!Z185</f>
        <v>1.7000000000000001E-2</v>
      </c>
      <c r="M185" s="262">
        <f t="shared" si="28"/>
        <v>9.9973788328387734</v>
      </c>
      <c r="N185" s="284">
        <f t="shared" si="29"/>
        <v>0</v>
      </c>
      <c r="O185" s="262"/>
      <c r="P185" s="246">
        <f>Données!AA185</f>
        <v>140</v>
      </c>
      <c r="Q185" s="281">
        <f>Données!AB185</f>
        <v>75</v>
      </c>
      <c r="R185" s="233">
        <f t="shared" si="30"/>
        <v>151.25</v>
      </c>
      <c r="S185" s="285">
        <f t="shared" si="31"/>
        <v>0.13504464285714285</v>
      </c>
      <c r="T185" s="270">
        <f t="shared" si="32"/>
        <v>152.53987730061345</v>
      </c>
      <c r="U185" s="270">
        <f t="shared" si="35"/>
        <v>0</v>
      </c>
      <c r="V185" s="284">
        <f t="shared" si="36"/>
        <v>0</v>
      </c>
      <c r="W185" s="337"/>
      <c r="X185" s="233">
        <f t="shared" si="37"/>
        <v>0</v>
      </c>
      <c r="Y185" s="250">
        <f t="shared" si="38"/>
        <v>0</v>
      </c>
    </row>
    <row r="186" spans="1:25" x14ac:dyDescent="0.25">
      <c r="A186" s="108">
        <f>Données!A186</f>
        <v>5716</v>
      </c>
      <c r="B186" s="116" t="str">
        <f>Données!B186</f>
        <v>Eysins</v>
      </c>
      <c r="C186" s="249">
        <f>Données!C186</f>
        <v>1811</v>
      </c>
      <c r="D186" s="262"/>
      <c r="E186" s="246">
        <f>Données!X186</f>
        <v>236</v>
      </c>
      <c r="F186" s="283">
        <f t="shared" si="26"/>
        <v>0.13031474323578135</v>
      </c>
      <c r="G186" s="262">
        <f t="shared" si="27"/>
        <v>1358.4597683397683</v>
      </c>
      <c r="H186" s="270">
        <f t="shared" si="33"/>
        <v>0</v>
      </c>
      <c r="I186" s="284">
        <f t="shared" si="34"/>
        <v>0</v>
      </c>
      <c r="J186" s="262"/>
      <c r="K186" s="271">
        <f>Données!Y186</f>
        <v>0</v>
      </c>
      <c r="L186" s="418">
        <f>Données!Z186</f>
        <v>4.4999999999999998E-2</v>
      </c>
      <c r="M186" s="262">
        <f t="shared" si="28"/>
        <v>26.463649851632045</v>
      </c>
      <c r="N186" s="284">
        <f t="shared" si="29"/>
        <v>0</v>
      </c>
      <c r="O186" s="262"/>
      <c r="P186" s="246">
        <f>Données!AA186</f>
        <v>216</v>
      </c>
      <c r="Q186" s="281">
        <f>Données!AB186</f>
        <v>116</v>
      </c>
      <c r="R186" s="233">
        <f t="shared" si="30"/>
        <v>233.4</v>
      </c>
      <c r="S186" s="285">
        <f t="shared" si="31"/>
        <v>0.12887907233572612</v>
      </c>
      <c r="T186" s="270">
        <f t="shared" si="32"/>
        <v>246.65153374233122</v>
      </c>
      <c r="U186" s="270">
        <f t="shared" si="35"/>
        <v>0</v>
      </c>
      <c r="V186" s="284">
        <f t="shared" si="36"/>
        <v>0</v>
      </c>
      <c r="W186" s="337"/>
      <c r="X186" s="233">
        <f t="shared" si="37"/>
        <v>0</v>
      </c>
      <c r="Y186" s="250">
        <f t="shared" si="38"/>
        <v>0</v>
      </c>
    </row>
    <row r="187" spans="1:25" x14ac:dyDescent="0.25">
      <c r="A187" s="108">
        <f>Données!A187</f>
        <v>5717</v>
      </c>
      <c r="B187" s="116" t="str">
        <f>Données!B187</f>
        <v>Founex</v>
      </c>
      <c r="C187" s="249">
        <f>Données!C187</f>
        <v>3737</v>
      </c>
      <c r="D187" s="262"/>
      <c r="E187" s="246">
        <f>Données!X187</f>
        <v>476</v>
      </c>
      <c r="F187" s="283">
        <f t="shared" si="26"/>
        <v>0.12737489965212737</v>
      </c>
      <c r="G187" s="262">
        <f t="shared" si="27"/>
        <v>2803.1828571428568</v>
      </c>
      <c r="H187" s="270">
        <f t="shared" si="33"/>
        <v>0</v>
      </c>
      <c r="I187" s="284">
        <f t="shared" si="34"/>
        <v>0</v>
      </c>
      <c r="J187" s="262"/>
      <c r="K187" s="271">
        <f>Données!Y187</f>
        <v>0</v>
      </c>
      <c r="L187" s="418">
        <f>Données!Z187</f>
        <v>1.4E-2</v>
      </c>
      <c r="M187" s="262">
        <f t="shared" si="28"/>
        <v>8.2331355093966376</v>
      </c>
      <c r="N187" s="284">
        <f t="shared" si="29"/>
        <v>0</v>
      </c>
      <c r="O187" s="262"/>
      <c r="P187" s="246">
        <f>Données!AA187</f>
        <v>384</v>
      </c>
      <c r="Q187" s="281">
        <f>Données!AB187</f>
        <v>41</v>
      </c>
      <c r="R187" s="233">
        <f t="shared" si="30"/>
        <v>390.15</v>
      </c>
      <c r="S187" s="285">
        <f t="shared" si="31"/>
        <v>0.10440192667915439</v>
      </c>
      <c r="T187" s="270">
        <f t="shared" si="32"/>
        <v>508.96564417177899</v>
      </c>
      <c r="U187" s="270">
        <f t="shared" si="35"/>
        <v>0</v>
      </c>
      <c r="V187" s="284">
        <f t="shared" si="36"/>
        <v>0</v>
      </c>
      <c r="W187" s="337"/>
      <c r="X187" s="233">
        <f t="shared" si="37"/>
        <v>0</v>
      </c>
      <c r="Y187" s="250">
        <f t="shared" si="38"/>
        <v>0</v>
      </c>
    </row>
    <row r="188" spans="1:25" x14ac:dyDescent="0.25">
      <c r="A188" s="108">
        <f>Données!A188</f>
        <v>5718</v>
      </c>
      <c r="B188" s="116" t="str">
        <f>Données!B188</f>
        <v>Genolier</v>
      </c>
      <c r="C188" s="249">
        <f>Données!C188</f>
        <v>2071</v>
      </c>
      <c r="D188" s="262"/>
      <c r="E188" s="246">
        <f>Données!X188</f>
        <v>484</v>
      </c>
      <c r="F188" s="283">
        <f t="shared" si="26"/>
        <v>0.23370352486721391</v>
      </c>
      <c r="G188" s="262">
        <f t="shared" si="27"/>
        <v>1553.4898841698841</v>
      </c>
      <c r="H188" s="270">
        <f t="shared" si="33"/>
        <v>0</v>
      </c>
      <c r="I188" s="284">
        <f t="shared" si="34"/>
        <v>0</v>
      </c>
      <c r="J188" s="262"/>
      <c r="K188" s="271">
        <f>Données!Y188</f>
        <v>0</v>
      </c>
      <c r="L188" s="418">
        <f>Données!Z188</f>
        <v>7.2999999999999995E-2</v>
      </c>
      <c r="M188" s="262">
        <f t="shared" si="28"/>
        <v>42.92992087042532</v>
      </c>
      <c r="N188" s="284">
        <f t="shared" si="29"/>
        <v>0</v>
      </c>
      <c r="O188" s="262"/>
      <c r="P188" s="246">
        <f>Données!AA188</f>
        <v>237</v>
      </c>
      <c r="Q188" s="281">
        <f>Données!AB188</f>
        <v>94</v>
      </c>
      <c r="R188" s="233">
        <f t="shared" si="30"/>
        <v>251.1</v>
      </c>
      <c r="S188" s="285">
        <f t="shared" si="31"/>
        <v>0.12124577498792853</v>
      </c>
      <c r="T188" s="270">
        <f t="shared" si="32"/>
        <v>282.06257668711646</v>
      </c>
      <c r="U188" s="270">
        <f t="shared" si="35"/>
        <v>0</v>
      </c>
      <c r="V188" s="284">
        <f t="shared" si="36"/>
        <v>0</v>
      </c>
      <c r="W188" s="337"/>
      <c r="X188" s="233">
        <f t="shared" si="37"/>
        <v>0</v>
      </c>
      <c r="Y188" s="250">
        <f t="shared" si="38"/>
        <v>0</v>
      </c>
    </row>
    <row r="189" spans="1:25" x14ac:dyDescent="0.25">
      <c r="A189" s="108">
        <f>Données!A189</f>
        <v>5719</v>
      </c>
      <c r="B189" s="116" t="str">
        <f>Données!B189</f>
        <v>Gingins</v>
      </c>
      <c r="C189" s="249">
        <f>Données!C189</f>
        <v>1241</v>
      </c>
      <c r="D189" s="262"/>
      <c r="E189" s="246">
        <f>Données!X189</f>
        <v>1249</v>
      </c>
      <c r="F189" s="283">
        <f t="shared" si="26"/>
        <v>1.0064464141821112</v>
      </c>
      <c r="G189" s="262">
        <f t="shared" si="27"/>
        <v>930.89374517374506</v>
      </c>
      <c r="H189" s="270">
        <f t="shared" si="33"/>
        <v>318.10625482625494</v>
      </c>
      <c r="I189" s="284">
        <f t="shared" si="34"/>
        <v>-34013</v>
      </c>
      <c r="J189" s="262"/>
      <c r="K189" s="271">
        <f>Données!Y189</f>
        <v>2</v>
      </c>
      <c r="L189" s="418">
        <f>Données!Z189</f>
        <v>0.31900000000000001</v>
      </c>
      <c r="M189" s="262">
        <f t="shared" si="28"/>
        <v>187.5978733926805</v>
      </c>
      <c r="N189" s="284">
        <f t="shared" si="29"/>
        <v>-375</v>
      </c>
      <c r="O189" s="262"/>
      <c r="P189" s="246">
        <f>Données!AA189</f>
        <v>113</v>
      </c>
      <c r="Q189" s="281">
        <f>Données!AB189</f>
        <v>55</v>
      </c>
      <c r="R189" s="233">
        <f t="shared" si="30"/>
        <v>121.25</v>
      </c>
      <c r="S189" s="285">
        <f t="shared" si="31"/>
        <v>9.7703464947622887E-2</v>
      </c>
      <c r="T189" s="270">
        <f t="shared" si="32"/>
        <v>169.01963190184046</v>
      </c>
      <c r="U189" s="270">
        <f t="shared" si="35"/>
        <v>0</v>
      </c>
      <c r="V189" s="284">
        <f t="shared" si="36"/>
        <v>0</v>
      </c>
      <c r="W189" s="337"/>
      <c r="X189" s="233">
        <f t="shared" si="37"/>
        <v>0</v>
      </c>
      <c r="Y189" s="250">
        <f t="shared" si="38"/>
        <v>0</v>
      </c>
    </row>
    <row r="190" spans="1:25" x14ac:dyDescent="0.25">
      <c r="A190" s="108">
        <f>Données!A190</f>
        <v>5720</v>
      </c>
      <c r="B190" s="116" t="str">
        <f>Données!B190</f>
        <v>Givrins</v>
      </c>
      <c r="C190" s="249">
        <f>Données!C190</f>
        <v>1096</v>
      </c>
      <c r="D190" s="262"/>
      <c r="E190" s="246">
        <f>Données!X190</f>
        <v>394</v>
      </c>
      <c r="F190" s="283">
        <f t="shared" si="26"/>
        <v>0.35948905109489049</v>
      </c>
      <c r="G190" s="262">
        <f t="shared" si="27"/>
        <v>822.12694980694971</v>
      </c>
      <c r="H190" s="270">
        <f t="shared" si="33"/>
        <v>0</v>
      </c>
      <c r="I190" s="284">
        <f t="shared" si="34"/>
        <v>0</v>
      </c>
      <c r="J190" s="262"/>
      <c r="K190" s="271">
        <f>Données!Y190</f>
        <v>0</v>
      </c>
      <c r="L190" s="418">
        <f>Données!Z190</f>
        <v>0.248</v>
      </c>
      <c r="M190" s="262">
        <f t="shared" si="28"/>
        <v>145.84411473788327</v>
      </c>
      <c r="N190" s="284">
        <f t="shared" si="29"/>
        <v>0</v>
      </c>
      <c r="O190" s="262"/>
      <c r="P190" s="246">
        <f>Données!AA190</f>
        <v>115</v>
      </c>
      <c r="Q190" s="281">
        <f>Données!AB190</f>
        <v>18</v>
      </c>
      <c r="R190" s="233">
        <f t="shared" si="30"/>
        <v>117.7</v>
      </c>
      <c r="S190" s="285">
        <f t="shared" si="31"/>
        <v>0.10739051094890512</v>
      </c>
      <c r="T190" s="270">
        <f t="shared" si="32"/>
        <v>149.27116564417173</v>
      </c>
      <c r="U190" s="270">
        <f t="shared" si="35"/>
        <v>0</v>
      </c>
      <c r="V190" s="284">
        <f t="shared" si="36"/>
        <v>0</v>
      </c>
      <c r="W190" s="337"/>
      <c r="X190" s="233">
        <f t="shared" si="37"/>
        <v>0</v>
      </c>
      <c r="Y190" s="250">
        <f t="shared" si="38"/>
        <v>0</v>
      </c>
    </row>
    <row r="191" spans="1:25" x14ac:dyDescent="0.25">
      <c r="A191" s="108">
        <f>Données!A191</f>
        <v>5721</v>
      </c>
      <c r="B191" s="116" t="str">
        <f>Données!B191</f>
        <v>Gland</v>
      </c>
      <c r="C191" s="249">
        <f>Données!C191</f>
        <v>13978</v>
      </c>
      <c r="D191" s="262"/>
      <c r="E191" s="246">
        <f>Données!X191</f>
        <v>832</v>
      </c>
      <c r="F191" s="283">
        <f t="shared" si="26"/>
        <v>5.9522106166833594E-2</v>
      </c>
      <c r="G191" s="262">
        <f t="shared" si="27"/>
        <v>10485.119073359072</v>
      </c>
      <c r="H191" s="270">
        <f t="shared" si="33"/>
        <v>0</v>
      </c>
      <c r="I191" s="284">
        <f t="shared" si="34"/>
        <v>0</v>
      </c>
      <c r="J191" s="262"/>
      <c r="K191" s="271">
        <f>Données!Y191</f>
        <v>0</v>
      </c>
      <c r="L191" s="418">
        <f>Données!Z191</f>
        <v>2.8000000000000001E-2</v>
      </c>
      <c r="M191" s="262">
        <f t="shared" si="28"/>
        <v>16.466271018793275</v>
      </c>
      <c r="N191" s="284">
        <f t="shared" si="29"/>
        <v>0</v>
      </c>
      <c r="O191" s="262"/>
      <c r="P191" s="246">
        <f>Données!AA191</f>
        <v>1692</v>
      </c>
      <c r="Q191" s="281">
        <f>Données!AB191</f>
        <v>61</v>
      </c>
      <c r="R191" s="233">
        <f t="shared" si="30"/>
        <v>1701.15</v>
      </c>
      <c r="S191" s="285">
        <f t="shared" si="31"/>
        <v>0.12170196022320791</v>
      </c>
      <c r="T191" s="270">
        <f t="shared" si="32"/>
        <v>1903.7521472392632</v>
      </c>
      <c r="U191" s="270">
        <f t="shared" si="35"/>
        <v>0</v>
      </c>
      <c r="V191" s="284">
        <f t="shared" si="36"/>
        <v>0</v>
      </c>
      <c r="W191" s="337"/>
      <c r="X191" s="233">
        <f t="shared" si="37"/>
        <v>0</v>
      </c>
      <c r="Y191" s="250">
        <f t="shared" si="38"/>
        <v>0</v>
      </c>
    </row>
    <row r="192" spans="1:25" x14ac:dyDescent="0.25">
      <c r="A192" s="108">
        <f>Données!A192</f>
        <v>5722</v>
      </c>
      <c r="B192" s="116" t="str">
        <f>Données!B192</f>
        <v>Grens</v>
      </c>
      <c r="C192" s="249">
        <f>Données!C192</f>
        <v>413</v>
      </c>
      <c r="D192" s="262"/>
      <c r="E192" s="246">
        <f>Données!X192</f>
        <v>255</v>
      </c>
      <c r="F192" s="283">
        <f t="shared" si="26"/>
        <v>0.61743341404358354</v>
      </c>
      <c r="G192" s="262">
        <f t="shared" si="27"/>
        <v>309.79783783783779</v>
      </c>
      <c r="H192" s="270">
        <f t="shared" si="33"/>
        <v>0</v>
      </c>
      <c r="I192" s="284">
        <f t="shared" si="34"/>
        <v>0</v>
      </c>
      <c r="J192" s="262"/>
      <c r="K192" s="271">
        <f>Données!Y192</f>
        <v>0</v>
      </c>
      <c r="L192" s="418">
        <f>Données!Z192</f>
        <v>5.0000000000000001E-3</v>
      </c>
      <c r="M192" s="262">
        <f t="shared" si="28"/>
        <v>2.9404055390702273</v>
      </c>
      <c r="N192" s="284">
        <f t="shared" si="29"/>
        <v>0</v>
      </c>
      <c r="O192" s="262"/>
      <c r="P192" s="246">
        <f>Données!AA192</f>
        <v>49</v>
      </c>
      <c r="Q192" s="281">
        <f>Données!AB192</f>
        <v>30</v>
      </c>
      <c r="R192" s="233">
        <f t="shared" si="30"/>
        <v>53.5</v>
      </c>
      <c r="S192" s="285">
        <f t="shared" si="31"/>
        <v>0.12953995157384987</v>
      </c>
      <c r="T192" s="270">
        <f t="shared" si="32"/>
        <v>56.249079754601212</v>
      </c>
      <c r="U192" s="270">
        <f t="shared" si="35"/>
        <v>0</v>
      </c>
      <c r="V192" s="284">
        <f t="shared" si="36"/>
        <v>0</v>
      </c>
      <c r="W192" s="337"/>
      <c r="X192" s="233">
        <f t="shared" si="37"/>
        <v>0</v>
      </c>
      <c r="Y192" s="250">
        <f t="shared" si="38"/>
        <v>0</v>
      </c>
    </row>
    <row r="193" spans="1:25" x14ac:dyDescent="0.25">
      <c r="A193" s="108">
        <f>Données!A193</f>
        <v>5723</v>
      </c>
      <c r="B193" s="116" t="str">
        <f>Données!B193</f>
        <v>Mies</v>
      </c>
      <c r="C193" s="249">
        <f>Données!C193</f>
        <v>2194</v>
      </c>
      <c r="D193" s="262"/>
      <c r="E193" s="246">
        <f>Données!X193</f>
        <v>349</v>
      </c>
      <c r="F193" s="283">
        <f t="shared" si="26"/>
        <v>0.15907019143117593</v>
      </c>
      <c r="G193" s="262">
        <f t="shared" si="27"/>
        <v>1645.7541312741312</v>
      </c>
      <c r="H193" s="270">
        <f t="shared" si="33"/>
        <v>0</v>
      </c>
      <c r="I193" s="284">
        <f t="shared" si="34"/>
        <v>0</v>
      </c>
      <c r="J193" s="262"/>
      <c r="K193" s="271">
        <f>Données!Y193</f>
        <v>0</v>
      </c>
      <c r="L193" s="418">
        <f>Données!Z193</f>
        <v>1.9E-2</v>
      </c>
      <c r="M193" s="262">
        <f t="shared" si="28"/>
        <v>11.173541048466864</v>
      </c>
      <c r="N193" s="284">
        <f t="shared" si="29"/>
        <v>0</v>
      </c>
      <c r="O193" s="262"/>
      <c r="P193" s="246">
        <f>Données!AA193</f>
        <v>178</v>
      </c>
      <c r="Q193" s="281">
        <f>Données!AB193</f>
        <v>69</v>
      </c>
      <c r="R193" s="233">
        <f t="shared" si="30"/>
        <v>188.35</v>
      </c>
      <c r="S193" s="285">
        <f t="shared" si="31"/>
        <v>8.5847766636280756E-2</v>
      </c>
      <c r="T193" s="270">
        <f t="shared" si="32"/>
        <v>298.81472392638028</v>
      </c>
      <c r="U193" s="270">
        <f t="shared" si="35"/>
        <v>0</v>
      </c>
      <c r="V193" s="284">
        <f t="shared" si="36"/>
        <v>0</v>
      </c>
      <c r="W193" s="337"/>
      <c r="X193" s="233">
        <f t="shared" si="37"/>
        <v>0</v>
      </c>
      <c r="Y193" s="250">
        <f t="shared" si="38"/>
        <v>0</v>
      </c>
    </row>
    <row r="194" spans="1:25" x14ac:dyDescent="0.25">
      <c r="A194" s="108">
        <f>Données!A194</f>
        <v>5724</v>
      </c>
      <c r="B194" s="116" t="str">
        <f>Données!B194</f>
        <v>Nyon</v>
      </c>
      <c r="C194" s="249">
        <f>Données!C194</f>
        <v>23732</v>
      </c>
      <c r="D194" s="262"/>
      <c r="E194" s="246">
        <f>Données!X194</f>
        <v>683</v>
      </c>
      <c r="F194" s="283">
        <f t="shared" si="26"/>
        <v>2.8779706725096915E-2</v>
      </c>
      <c r="G194" s="262">
        <f t="shared" si="27"/>
        <v>17801.748880308878</v>
      </c>
      <c r="H194" s="270">
        <f t="shared" si="33"/>
        <v>0</v>
      </c>
      <c r="I194" s="284">
        <f t="shared" si="34"/>
        <v>0</v>
      </c>
      <c r="J194" s="262"/>
      <c r="K194" s="271">
        <f>Données!Y194</f>
        <v>0</v>
      </c>
      <c r="L194" s="418">
        <f>Données!Z194</f>
        <v>5.8000000000000003E-2</v>
      </c>
      <c r="M194" s="262">
        <f t="shared" si="28"/>
        <v>34.10870425321464</v>
      </c>
      <c r="N194" s="284">
        <f t="shared" si="29"/>
        <v>0</v>
      </c>
      <c r="O194" s="262"/>
      <c r="P194" s="246">
        <f>Données!AA194</f>
        <v>2478</v>
      </c>
      <c r="Q194" s="281">
        <f>Données!AB194</f>
        <v>25</v>
      </c>
      <c r="R194" s="233">
        <f t="shared" si="30"/>
        <v>2481.75</v>
      </c>
      <c r="S194" s="285">
        <f t="shared" si="31"/>
        <v>0.10457399292095061</v>
      </c>
      <c r="T194" s="270">
        <f t="shared" si="32"/>
        <v>3232.2110429447844</v>
      </c>
      <c r="U194" s="270">
        <f t="shared" si="35"/>
        <v>0</v>
      </c>
      <c r="V194" s="284">
        <f t="shared" si="36"/>
        <v>0</v>
      </c>
      <c r="W194" s="337"/>
      <c r="X194" s="233">
        <f t="shared" si="37"/>
        <v>0</v>
      </c>
      <c r="Y194" s="250">
        <f t="shared" si="38"/>
        <v>0</v>
      </c>
    </row>
    <row r="195" spans="1:25" x14ac:dyDescent="0.25">
      <c r="A195" s="108">
        <f>Données!A195</f>
        <v>5725</v>
      </c>
      <c r="B195" s="116" t="str">
        <f>Données!B195</f>
        <v>Prangins</v>
      </c>
      <c r="C195" s="249">
        <f>Données!C195</f>
        <v>4243</v>
      </c>
      <c r="D195" s="262"/>
      <c r="E195" s="246">
        <f>Données!X195</f>
        <v>600</v>
      </c>
      <c r="F195" s="283">
        <f t="shared" si="26"/>
        <v>0.14140938015555032</v>
      </c>
      <c r="G195" s="262">
        <f t="shared" si="27"/>
        <v>3182.7414671814668</v>
      </c>
      <c r="H195" s="270">
        <f t="shared" si="33"/>
        <v>0</v>
      </c>
      <c r="I195" s="284">
        <f t="shared" si="34"/>
        <v>0</v>
      </c>
      <c r="J195" s="262"/>
      <c r="K195" s="271">
        <f>Données!Y195</f>
        <v>0</v>
      </c>
      <c r="L195" s="418">
        <f>Données!Z195</f>
        <v>2.8000000000000001E-2</v>
      </c>
      <c r="M195" s="262">
        <f t="shared" si="28"/>
        <v>16.466271018793275</v>
      </c>
      <c r="N195" s="284">
        <f t="shared" si="29"/>
        <v>0</v>
      </c>
      <c r="O195" s="262"/>
      <c r="P195" s="246">
        <f>Données!AA195</f>
        <v>472</v>
      </c>
      <c r="Q195" s="281">
        <f>Données!AB195</f>
        <v>121</v>
      </c>
      <c r="R195" s="233">
        <f t="shared" si="30"/>
        <v>490.15</v>
      </c>
      <c r="S195" s="285">
        <f t="shared" si="31"/>
        <v>0.11551967947207165</v>
      </c>
      <c r="T195" s="270">
        <f t="shared" si="32"/>
        <v>577.88098159509184</v>
      </c>
      <c r="U195" s="270">
        <f t="shared" si="35"/>
        <v>0</v>
      </c>
      <c r="V195" s="284">
        <f t="shared" si="36"/>
        <v>0</v>
      </c>
      <c r="W195" s="337"/>
      <c r="X195" s="233">
        <f t="shared" si="37"/>
        <v>0</v>
      </c>
      <c r="Y195" s="250">
        <f t="shared" si="38"/>
        <v>0</v>
      </c>
    </row>
    <row r="196" spans="1:25" x14ac:dyDescent="0.25">
      <c r="A196" s="108">
        <f>Données!A196</f>
        <v>5726</v>
      </c>
      <c r="B196" s="116" t="str">
        <f>Données!B196</f>
        <v>La Rippe</v>
      </c>
      <c r="C196" s="249">
        <f>Données!C196</f>
        <v>1218</v>
      </c>
      <c r="D196" s="262"/>
      <c r="E196" s="246">
        <f>Données!X196</f>
        <v>1646</v>
      </c>
      <c r="F196" s="283">
        <f t="shared" si="26"/>
        <v>1.3513957307060755</v>
      </c>
      <c r="G196" s="262">
        <f t="shared" si="27"/>
        <v>913.64108108108098</v>
      </c>
      <c r="H196" s="270">
        <f t="shared" si="33"/>
        <v>732.35891891891902</v>
      </c>
      <c r="I196" s="284">
        <f t="shared" si="34"/>
        <v>-78307</v>
      </c>
      <c r="J196" s="262"/>
      <c r="K196" s="271">
        <f>Données!Y196</f>
        <v>0</v>
      </c>
      <c r="L196" s="418">
        <f>Données!Z196</f>
        <v>0.29699999999999999</v>
      </c>
      <c r="M196" s="262">
        <f t="shared" si="28"/>
        <v>174.66008902077149</v>
      </c>
      <c r="N196" s="284">
        <f t="shared" si="29"/>
        <v>0</v>
      </c>
      <c r="O196" s="262"/>
      <c r="P196" s="246">
        <f>Données!AA196</f>
        <v>155</v>
      </c>
      <c r="Q196" s="281">
        <f>Données!AB196</f>
        <v>54</v>
      </c>
      <c r="R196" s="233">
        <f t="shared" si="30"/>
        <v>163.1</v>
      </c>
      <c r="S196" s="285">
        <f t="shared" si="31"/>
        <v>0.1339080459770115</v>
      </c>
      <c r="T196" s="270">
        <f t="shared" si="32"/>
        <v>165.88711656441714</v>
      </c>
      <c r="U196" s="270">
        <f t="shared" si="35"/>
        <v>0</v>
      </c>
      <c r="V196" s="284">
        <f t="shared" si="36"/>
        <v>0</v>
      </c>
      <c r="W196" s="337"/>
      <c r="X196" s="233">
        <f t="shared" si="37"/>
        <v>0</v>
      </c>
      <c r="Y196" s="250">
        <f t="shared" si="38"/>
        <v>0</v>
      </c>
    </row>
    <row r="197" spans="1:25" x14ac:dyDescent="0.25">
      <c r="A197" s="108">
        <f>Données!A197</f>
        <v>5727</v>
      </c>
      <c r="B197" s="116" t="str">
        <f>Données!B197</f>
        <v>Saint-Cergue</v>
      </c>
      <c r="C197" s="249">
        <f>Données!C197</f>
        <v>3057</v>
      </c>
      <c r="D197" s="262"/>
      <c r="E197" s="246">
        <f>Données!X197</f>
        <v>2413</v>
      </c>
      <c r="F197" s="283">
        <f t="shared" ref="F197:F260" si="39">E197/C197</f>
        <v>0.78933595027805037</v>
      </c>
      <c r="G197" s="262">
        <f t="shared" ref="G197:G260" si="40">C197*$I$4</f>
        <v>2293.1040926640926</v>
      </c>
      <c r="H197" s="270">
        <f t="shared" si="33"/>
        <v>119.8959073359074</v>
      </c>
      <c r="I197" s="284">
        <f t="shared" si="34"/>
        <v>-12820</v>
      </c>
      <c r="J197" s="262"/>
      <c r="K197" s="271">
        <f>Données!Y197</f>
        <v>3057</v>
      </c>
      <c r="L197" s="418">
        <f>Données!Z197</f>
        <v>0.27</v>
      </c>
      <c r="M197" s="262">
        <f t="shared" ref="M197:M260" si="41">L197*$N$5</f>
        <v>158.78189910979228</v>
      </c>
      <c r="N197" s="284">
        <f t="shared" ref="N197:N260" si="42">ROUND(-M197*K197,0)</f>
        <v>-485396</v>
      </c>
      <c r="O197" s="262"/>
      <c r="P197" s="246">
        <f>Données!AA197</f>
        <v>353</v>
      </c>
      <c r="Q197" s="281">
        <f>Données!AB197</f>
        <v>177</v>
      </c>
      <c r="R197" s="233">
        <f t="shared" ref="R197:R260" si="43">P197*$P$6+Q197*$Q$6</f>
        <v>379.55</v>
      </c>
      <c r="S197" s="285">
        <f t="shared" ref="S197:S260" si="44">R197/C197</f>
        <v>0.12415767091920184</v>
      </c>
      <c r="T197" s="270">
        <f t="shared" ref="T197:T260" si="45">$V$4*C197</f>
        <v>416.35214723926367</v>
      </c>
      <c r="U197" s="270">
        <f t="shared" si="35"/>
        <v>0</v>
      </c>
      <c r="V197" s="284">
        <f t="shared" si="36"/>
        <v>0</v>
      </c>
      <c r="W197" s="337"/>
      <c r="X197" s="233">
        <f t="shared" si="37"/>
        <v>0</v>
      </c>
      <c r="Y197" s="250">
        <f t="shared" si="38"/>
        <v>0</v>
      </c>
    </row>
    <row r="198" spans="1:25" x14ac:dyDescent="0.25">
      <c r="A198" s="108">
        <f>Données!A198</f>
        <v>5728</v>
      </c>
      <c r="B198" s="116" t="str">
        <f>Données!B198</f>
        <v>Signy-Avenex</v>
      </c>
      <c r="C198" s="249">
        <f>Données!C198</f>
        <v>586</v>
      </c>
      <c r="D198" s="262"/>
      <c r="E198" s="246">
        <f>Données!X198</f>
        <v>193</v>
      </c>
      <c r="F198" s="283">
        <f t="shared" si="39"/>
        <v>0.32935153583617749</v>
      </c>
      <c r="G198" s="262">
        <f t="shared" si="40"/>
        <v>439.56787644787642</v>
      </c>
      <c r="H198" s="270">
        <f t="shared" ref="H198:H261" si="46">IF(E198&gt;G198,E198-G198,0)</f>
        <v>0</v>
      </c>
      <c r="I198" s="284">
        <f t="shared" ref="I198:I261" si="47">ROUND(-H198*$I$5,0)</f>
        <v>0</v>
      </c>
      <c r="J198" s="262"/>
      <c r="K198" s="271">
        <f>Données!Y198</f>
        <v>0</v>
      </c>
      <c r="L198" s="418">
        <f>Données!Z198</f>
        <v>8.9999999999999993E-3</v>
      </c>
      <c r="M198" s="262">
        <f t="shared" si="41"/>
        <v>5.292729970326409</v>
      </c>
      <c r="N198" s="284">
        <f t="shared" si="42"/>
        <v>0</v>
      </c>
      <c r="O198" s="262"/>
      <c r="P198" s="246">
        <f>Données!AA198</f>
        <v>61</v>
      </c>
      <c r="Q198" s="281">
        <f>Données!AB198</f>
        <v>58</v>
      </c>
      <c r="R198" s="233">
        <f t="shared" si="43"/>
        <v>69.7</v>
      </c>
      <c r="S198" s="285">
        <f t="shared" si="44"/>
        <v>0.1189419795221843</v>
      </c>
      <c r="T198" s="270">
        <f t="shared" si="45"/>
        <v>79.811042944785257</v>
      </c>
      <c r="U198" s="270">
        <f t="shared" ref="U198:U261" si="48">IF(R198&gt;T198,R198-T198,0)</f>
        <v>0</v>
      </c>
      <c r="V198" s="284">
        <f t="shared" ref="V198:V261" si="49">ROUND(-$V$5*U198,0)</f>
        <v>0</v>
      </c>
      <c r="W198" s="337"/>
      <c r="X198" s="233">
        <f t="shared" ref="X198:X261" si="50">IF(-Q198*$Q$6*$V$5&gt;V198,-Q198*$Q$6*$V$5,V198)</f>
        <v>0</v>
      </c>
      <c r="Y198" s="250">
        <f t="shared" ref="Y198:Y261" si="51">IF(X198&gt;V198,V198-X198,0)</f>
        <v>0</v>
      </c>
    </row>
    <row r="199" spans="1:25" x14ac:dyDescent="0.25">
      <c r="A199" s="108">
        <f>Données!A199</f>
        <v>5729</v>
      </c>
      <c r="B199" s="116" t="str">
        <f>Données!B199</f>
        <v>Tannay</v>
      </c>
      <c r="C199" s="249">
        <f>Données!C199</f>
        <v>1732</v>
      </c>
      <c r="D199" s="262"/>
      <c r="E199" s="246">
        <f>Données!X199</f>
        <v>178</v>
      </c>
      <c r="F199" s="283">
        <f t="shared" si="39"/>
        <v>0.10277136258660508</v>
      </c>
      <c r="G199" s="262">
        <f t="shared" si="40"/>
        <v>1299.2006177606177</v>
      </c>
      <c r="H199" s="270">
        <f t="shared" si="46"/>
        <v>0</v>
      </c>
      <c r="I199" s="284">
        <f t="shared" si="47"/>
        <v>0</v>
      </c>
      <c r="J199" s="262"/>
      <c r="K199" s="271">
        <f>Données!Y199</f>
        <v>0</v>
      </c>
      <c r="L199" s="418">
        <f>Données!Z199</f>
        <v>3.2000000000000001E-2</v>
      </c>
      <c r="M199" s="262">
        <f t="shared" si="41"/>
        <v>18.818595450049457</v>
      </c>
      <c r="N199" s="284">
        <f t="shared" si="42"/>
        <v>0</v>
      </c>
      <c r="O199" s="262"/>
      <c r="P199" s="246">
        <f>Données!AA199</f>
        <v>150</v>
      </c>
      <c r="Q199" s="281">
        <f>Données!AB199</f>
        <v>13</v>
      </c>
      <c r="R199" s="233">
        <f t="shared" si="43"/>
        <v>151.94999999999999</v>
      </c>
      <c r="S199" s="285">
        <f t="shared" si="44"/>
        <v>8.7730946882217081E-2</v>
      </c>
      <c r="T199" s="270">
        <f t="shared" si="45"/>
        <v>235.89202453987724</v>
      </c>
      <c r="U199" s="270">
        <f t="shared" si="48"/>
        <v>0</v>
      </c>
      <c r="V199" s="284">
        <f t="shared" si="49"/>
        <v>0</v>
      </c>
      <c r="W199" s="337"/>
      <c r="X199" s="233">
        <f t="shared" si="50"/>
        <v>0</v>
      </c>
      <c r="Y199" s="250">
        <f t="shared" si="51"/>
        <v>0</v>
      </c>
    </row>
    <row r="200" spans="1:25" x14ac:dyDescent="0.25">
      <c r="A200" s="108">
        <f>Données!A200</f>
        <v>5730</v>
      </c>
      <c r="B200" s="116" t="str">
        <f>Données!B200</f>
        <v>Trélex</v>
      </c>
      <c r="C200" s="249">
        <f>Données!C200</f>
        <v>1427</v>
      </c>
      <c r="D200" s="262"/>
      <c r="E200" s="246">
        <f>Données!X200</f>
        <v>584</v>
      </c>
      <c r="F200" s="283">
        <f t="shared" si="39"/>
        <v>0.40925017519271201</v>
      </c>
      <c r="G200" s="262">
        <f t="shared" si="40"/>
        <v>1070.4152895752895</v>
      </c>
      <c r="H200" s="270">
        <f t="shared" si="46"/>
        <v>0</v>
      </c>
      <c r="I200" s="284">
        <f t="shared" si="47"/>
        <v>0</v>
      </c>
      <c r="J200" s="262"/>
      <c r="K200" s="271">
        <f>Données!Y200</f>
        <v>0</v>
      </c>
      <c r="L200" s="418">
        <f>Données!Z200</f>
        <v>7.0000000000000007E-2</v>
      </c>
      <c r="M200" s="262">
        <f t="shared" si="41"/>
        <v>41.16567754698319</v>
      </c>
      <c r="N200" s="284">
        <f t="shared" si="42"/>
        <v>0</v>
      </c>
      <c r="O200" s="262"/>
      <c r="P200" s="246">
        <f>Données!AA200</f>
        <v>146</v>
      </c>
      <c r="Q200" s="281">
        <f>Données!AB200</f>
        <v>74</v>
      </c>
      <c r="R200" s="233">
        <f t="shared" si="43"/>
        <v>157.1</v>
      </c>
      <c r="S200" s="285">
        <f t="shared" si="44"/>
        <v>0.11009110021023125</v>
      </c>
      <c r="T200" s="270">
        <f t="shared" si="45"/>
        <v>194.35214723926376</v>
      </c>
      <c r="U200" s="270">
        <f t="shared" si="48"/>
        <v>0</v>
      </c>
      <c r="V200" s="284">
        <f t="shared" si="49"/>
        <v>0</v>
      </c>
      <c r="W200" s="337"/>
      <c r="X200" s="233">
        <f t="shared" si="50"/>
        <v>0</v>
      </c>
      <c r="Y200" s="250">
        <f t="shared" si="51"/>
        <v>0</v>
      </c>
    </row>
    <row r="201" spans="1:25" x14ac:dyDescent="0.25">
      <c r="A201" s="108">
        <f>Données!A201</f>
        <v>5731</v>
      </c>
      <c r="B201" s="116" t="str">
        <f>Données!B201</f>
        <v>Le Vaud</v>
      </c>
      <c r="C201" s="249">
        <f>Données!C201</f>
        <v>1374</v>
      </c>
      <c r="D201" s="262"/>
      <c r="E201" s="246">
        <f>Données!X201</f>
        <v>313</v>
      </c>
      <c r="F201" s="283">
        <f t="shared" si="39"/>
        <v>0.22780203784570596</v>
      </c>
      <c r="G201" s="262">
        <f t="shared" si="40"/>
        <v>1030.6591505791505</v>
      </c>
      <c r="H201" s="270">
        <f t="shared" si="46"/>
        <v>0</v>
      </c>
      <c r="I201" s="284">
        <f t="shared" si="47"/>
        <v>0</v>
      </c>
      <c r="J201" s="262"/>
      <c r="K201" s="271">
        <f>Données!Y201</f>
        <v>1370</v>
      </c>
      <c r="L201" s="418">
        <f>Données!Z201</f>
        <v>0.13500000000000001</v>
      </c>
      <c r="M201" s="262">
        <f t="shared" si="41"/>
        <v>79.390949554896139</v>
      </c>
      <c r="N201" s="284">
        <f t="shared" si="42"/>
        <v>-108766</v>
      </c>
      <c r="O201" s="262"/>
      <c r="P201" s="246">
        <f>Données!AA201</f>
        <v>151</v>
      </c>
      <c r="Q201" s="281">
        <f>Données!AB201</f>
        <v>47</v>
      </c>
      <c r="R201" s="233">
        <f t="shared" si="43"/>
        <v>158.05000000000001</v>
      </c>
      <c r="S201" s="285">
        <f t="shared" si="44"/>
        <v>0.11502911208151384</v>
      </c>
      <c r="T201" s="270">
        <f t="shared" si="45"/>
        <v>187.13374233128829</v>
      </c>
      <c r="U201" s="270">
        <f t="shared" si="48"/>
        <v>0</v>
      </c>
      <c r="V201" s="284">
        <f t="shared" si="49"/>
        <v>0</v>
      </c>
      <c r="W201" s="337"/>
      <c r="X201" s="233">
        <f t="shared" si="50"/>
        <v>0</v>
      </c>
      <c r="Y201" s="250">
        <f t="shared" si="51"/>
        <v>0</v>
      </c>
    </row>
    <row r="202" spans="1:25" x14ac:dyDescent="0.25">
      <c r="A202" s="108">
        <f>Données!A202</f>
        <v>5732</v>
      </c>
      <c r="B202" s="116" t="str">
        <f>Données!B202</f>
        <v>Vich</v>
      </c>
      <c r="C202" s="249">
        <f>Données!C202</f>
        <v>1174</v>
      </c>
      <c r="D202" s="262"/>
      <c r="E202" s="246">
        <f>Données!X202</f>
        <v>152</v>
      </c>
      <c r="F202" s="283">
        <f t="shared" si="39"/>
        <v>0.12947189097103917</v>
      </c>
      <c r="G202" s="262">
        <f t="shared" si="40"/>
        <v>880.63598455598446</v>
      </c>
      <c r="H202" s="270">
        <f t="shared" si="46"/>
        <v>0</v>
      </c>
      <c r="I202" s="284">
        <f t="shared" si="47"/>
        <v>0</v>
      </c>
      <c r="J202" s="262"/>
      <c r="K202" s="271">
        <f>Données!Y202</f>
        <v>0</v>
      </c>
      <c r="L202" s="418">
        <f>Données!Z202</f>
        <v>0.108</v>
      </c>
      <c r="M202" s="262">
        <f t="shared" si="41"/>
        <v>63.512759643916908</v>
      </c>
      <c r="N202" s="284">
        <f t="shared" si="42"/>
        <v>0</v>
      </c>
      <c r="O202" s="262"/>
      <c r="P202" s="246">
        <f>Données!AA202</f>
        <v>133</v>
      </c>
      <c r="Q202" s="281">
        <f>Données!AB202</f>
        <v>19</v>
      </c>
      <c r="R202" s="233">
        <f t="shared" si="43"/>
        <v>135.85</v>
      </c>
      <c r="S202" s="285">
        <f t="shared" si="44"/>
        <v>0.11571550255536626</v>
      </c>
      <c r="T202" s="270">
        <f t="shared" si="45"/>
        <v>159.8944785276073</v>
      </c>
      <c r="U202" s="270">
        <f t="shared" si="48"/>
        <v>0</v>
      </c>
      <c r="V202" s="284">
        <f t="shared" si="49"/>
        <v>0</v>
      </c>
      <c r="W202" s="337"/>
      <c r="X202" s="233">
        <f t="shared" si="50"/>
        <v>0</v>
      </c>
      <c r="Y202" s="250">
        <f t="shared" si="51"/>
        <v>0</v>
      </c>
    </row>
    <row r="203" spans="1:25" x14ac:dyDescent="0.25">
      <c r="A203" s="108">
        <f>Données!A203</f>
        <v>5741</v>
      </c>
      <c r="B203" s="116" t="str">
        <f>Données!B203</f>
        <v>L'Abergement</v>
      </c>
      <c r="C203" s="249">
        <f>Données!C203</f>
        <v>267</v>
      </c>
      <c r="D203" s="262"/>
      <c r="E203" s="246">
        <f>Données!X203</f>
        <v>581</v>
      </c>
      <c r="F203" s="283">
        <f t="shared" si="39"/>
        <v>2.1760299625468167</v>
      </c>
      <c r="G203" s="262">
        <f t="shared" si="40"/>
        <v>200.28092664092662</v>
      </c>
      <c r="H203" s="270">
        <f t="shared" si="46"/>
        <v>380.71907335907338</v>
      </c>
      <c r="I203" s="284">
        <f t="shared" si="47"/>
        <v>-40708</v>
      </c>
      <c r="J203" s="262"/>
      <c r="K203" s="271">
        <f>Données!Y203</f>
        <v>25</v>
      </c>
      <c r="L203" s="418">
        <f>Données!Z203</f>
        <v>0.30199999999999999</v>
      </c>
      <c r="M203" s="262">
        <f t="shared" si="41"/>
        <v>177.60049455984174</v>
      </c>
      <c r="N203" s="284">
        <f t="shared" si="42"/>
        <v>-4440</v>
      </c>
      <c r="O203" s="262"/>
      <c r="P203" s="246">
        <f>Données!AA203</f>
        <v>26</v>
      </c>
      <c r="Q203" s="281">
        <f>Données!AB203</f>
        <v>26</v>
      </c>
      <c r="R203" s="233">
        <f t="shared" si="43"/>
        <v>29.9</v>
      </c>
      <c r="S203" s="285">
        <f t="shared" si="44"/>
        <v>0.11198501872659175</v>
      </c>
      <c r="T203" s="270">
        <f t="shared" si="45"/>
        <v>36.364417177914099</v>
      </c>
      <c r="U203" s="270">
        <f t="shared" si="48"/>
        <v>0</v>
      </c>
      <c r="V203" s="284">
        <f t="shared" si="49"/>
        <v>0</v>
      </c>
      <c r="W203" s="337"/>
      <c r="X203" s="233">
        <f t="shared" si="50"/>
        <v>0</v>
      </c>
      <c r="Y203" s="250">
        <f t="shared" si="51"/>
        <v>0</v>
      </c>
    </row>
    <row r="204" spans="1:25" x14ac:dyDescent="0.25">
      <c r="A204" s="108">
        <f>Données!A204</f>
        <v>5742</v>
      </c>
      <c r="B204" s="116" t="str">
        <f>Données!B204</f>
        <v>Agiez</v>
      </c>
      <c r="C204" s="249">
        <f>Données!C204</f>
        <v>382</v>
      </c>
      <c r="D204" s="262"/>
      <c r="E204" s="246">
        <f>Données!X204</f>
        <v>543</v>
      </c>
      <c r="F204" s="283">
        <f t="shared" si="39"/>
        <v>1.4214659685863875</v>
      </c>
      <c r="G204" s="262">
        <f t="shared" si="40"/>
        <v>286.54424710424706</v>
      </c>
      <c r="H204" s="270">
        <f t="shared" si="46"/>
        <v>256.45575289575294</v>
      </c>
      <c r="I204" s="284">
        <f t="shared" si="47"/>
        <v>-27421</v>
      </c>
      <c r="J204" s="262"/>
      <c r="K204" s="271">
        <f>Données!Y204</f>
        <v>0</v>
      </c>
      <c r="L204" s="418">
        <f>Données!Z204</f>
        <v>7.0999999999999994E-2</v>
      </c>
      <c r="M204" s="262">
        <f t="shared" si="41"/>
        <v>41.753758654797224</v>
      </c>
      <c r="N204" s="284">
        <f t="shared" si="42"/>
        <v>0</v>
      </c>
      <c r="O204" s="262"/>
      <c r="P204" s="246">
        <f>Données!AA204</f>
        <v>61</v>
      </c>
      <c r="Q204" s="281">
        <f>Données!AB204</f>
        <v>31</v>
      </c>
      <c r="R204" s="233">
        <f t="shared" si="43"/>
        <v>65.650000000000006</v>
      </c>
      <c r="S204" s="285">
        <f t="shared" si="44"/>
        <v>0.1718586387434555</v>
      </c>
      <c r="T204" s="270">
        <f t="shared" si="45"/>
        <v>52.026993865030661</v>
      </c>
      <c r="U204" s="270">
        <f t="shared" si="48"/>
        <v>13.623006134969344</v>
      </c>
      <c r="V204" s="284">
        <f t="shared" si="49"/>
        <v>-58265</v>
      </c>
      <c r="W204" s="337"/>
      <c r="X204" s="233">
        <f t="shared" si="50"/>
        <v>-19887.833827893173</v>
      </c>
      <c r="Y204" s="250">
        <f t="shared" si="51"/>
        <v>-38377.166172106823</v>
      </c>
    </row>
    <row r="205" spans="1:25" x14ac:dyDescent="0.25">
      <c r="A205" s="108">
        <f>Données!A205</f>
        <v>5743</v>
      </c>
      <c r="B205" s="116" t="str">
        <f>Données!B205</f>
        <v>Arnex-sur-Orbe</v>
      </c>
      <c r="C205" s="249">
        <f>Données!C205</f>
        <v>698</v>
      </c>
      <c r="D205" s="262"/>
      <c r="E205" s="246">
        <f>Données!X205</f>
        <v>756</v>
      </c>
      <c r="F205" s="283">
        <f t="shared" si="39"/>
        <v>1.0830945558739256</v>
      </c>
      <c r="G205" s="262">
        <f t="shared" si="40"/>
        <v>523.5808494208494</v>
      </c>
      <c r="H205" s="270">
        <f t="shared" si="46"/>
        <v>232.4191505791506</v>
      </c>
      <c r="I205" s="284">
        <f t="shared" si="47"/>
        <v>-24851</v>
      </c>
      <c r="J205" s="262"/>
      <c r="K205" s="271">
        <f>Données!Y205</f>
        <v>0</v>
      </c>
      <c r="L205" s="418">
        <f>Données!Z205</f>
        <v>5.1999999999999998E-2</v>
      </c>
      <c r="M205" s="262">
        <f t="shared" si="41"/>
        <v>30.580217606330365</v>
      </c>
      <c r="N205" s="284">
        <f t="shared" si="42"/>
        <v>0</v>
      </c>
      <c r="O205" s="262"/>
      <c r="P205" s="246">
        <f>Données!AA205</f>
        <v>91</v>
      </c>
      <c r="Q205" s="281">
        <f>Données!AB205</f>
        <v>50</v>
      </c>
      <c r="R205" s="233">
        <f t="shared" si="43"/>
        <v>98.5</v>
      </c>
      <c r="S205" s="285">
        <f t="shared" si="44"/>
        <v>0.14111747851002865</v>
      </c>
      <c r="T205" s="270">
        <f t="shared" si="45"/>
        <v>95.065030674846597</v>
      </c>
      <c r="U205" s="270">
        <f t="shared" si="48"/>
        <v>3.4349693251534035</v>
      </c>
      <c r="V205" s="284">
        <f t="shared" si="49"/>
        <v>-14691</v>
      </c>
      <c r="W205" s="337"/>
      <c r="X205" s="233">
        <f t="shared" si="50"/>
        <v>-14691</v>
      </c>
      <c r="Y205" s="250">
        <f t="shared" si="51"/>
        <v>0</v>
      </c>
    </row>
    <row r="206" spans="1:25" x14ac:dyDescent="0.25">
      <c r="A206" s="108">
        <f>Données!A206</f>
        <v>5744</v>
      </c>
      <c r="B206" s="116" t="str">
        <f>Données!B206</f>
        <v>Ballaigues</v>
      </c>
      <c r="C206" s="249">
        <f>Données!C206</f>
        <v>1217</v>
      </c>
      <c r="D206" s="262"/>
      <c r="E206" s="246">
        <f>Données!X206</f>
        <v>902</v>
      </c>
      <c r="F206" s="283">
        <f t="shared" si="39"/>
        <v>0.74116680361544784</v>
      </c>
      <c r="G206" s="262">
        <f t="shared" si="40"/>
        <v>912.89096525096522</v>
      </c>
      <c r="H206" s="270">
        <f t="shared" si="46"/>
        <v>0</v>
      </c>
      <c r="I206" s="284">
        <f t="shared" si="47"/>
        <v>0</v>
      </c>
      <c r="J206" s="262"/>
      <c r="K206" s="271">
        <f>Données!Y206</f>
        <v>1217</v>
      </c>
      <c r="L206" s="418">
        <f>Données!Z206</f>
        <v>0.23899999999999999</v>
      </c>
      <c r="M206" s="262">
        <f t="shared" si="41"/>
        <v>140.55138476755687</v>
      </c>
      <c r="N206" s="284">
        <f t="shared" si="42"/>
        <v>-171051</v>
      </c>
      <c r="O206" s="262"/>
      <c r="P206" s="246">
        <f>Données!AA206</f>
        <v>142</v>
      </c>
      <c r="Q206" s="281">
        <f>Données!AB206</f>
        <v>61</v>
      </c>
      <c r="R206" s="233">
        <f t="shared" si="43"/>
        <v>151.15</v>
      </c>
      <c r="S206" s="285">
        <f t="shared" si="44"/>
        <v>0.12419884963023829</v>
      </c>
      <c r="T206" s="270">
        <f t="shared" si="45"/>
        <v>165.75092024539873</v>
      </c>
      <c r="U206" s="270">
        <f t="shared" si="48"/>
        <v>0</v>
      </c>
      <c r="V206" s="284">
        <f t="shared" si="49"/>
        <v>0</v>
      </c>
      <c r="W206" s="337"/>
      <c r="X206" s="233">
        <f t="shared" si="50"/>
        <v>0</v>
      </c>
      <c r="Y206" s="250">
        <f t="shared" si="51"/>
        <v>0</v>
      </c>
    </row>
    <row r="207" spans="1:25" x14ac:dyDescent="0.25">
      <c r="A207" s="108">
        <f>Données!A207</f>
        <v>5745</v>
      </c>
      <c r="B207" s="116" t="str">
        <f>Données!B207</f>
        <v>Baulmes</v>
      </c>
      <c r="C207" s="249">
        <f>Données!C207</f>
        <v>1189</v>
      </c>
      <c r="D207" s="262"/>
      <c r="E207" s="246">
        <f>Données!X207</f>
        <v>2229</v>
      </c>
      <c r="F207" s="283">
        <f t="shared" si="39"/>
        <v>1.8746846089150546</v>
      </c>
      <c r="G207" s="262">
        <f t="shared" si="40"/>
        <v>891.88772200772189</v>
      </c>
      <c r="H207" s="270">
        <f t="shared" si="46"/>
        <v>1337.112277992278</v>
      </c>
      <c r="I207" s="284">
        <f t="shared" si="47"/>
        <v>-142969</v>
      </c>
      <c r="J207" s="262"/>
      <c r="K207" s="271">
        <f>Données!Y207</f>
        <v>1</v>
      </c>
      <c r="L207" s="418">
        <f>Données!Z207</f>
        <v>0.42499999999999999</v>
      </c>
      <c r="M207" s="262">
        <f t="shared" si="41"/>
        <v>249.93447082096932</v>
      </c>
      <c r="N207" s="284">
        <f t="shared" si="42"/>
        <v>-250</v>
      </c>
      <c r="O207" s="262"/>
      <c r="P207" s="246">
        <f>Données!AA207</f>
        <v>133</v>
      </c>
      <c r="Q207" s="281">
        <f>Données!AB207</f>
        <v>30</v>
      </c>
      <c r="R207" s="233">
        <f t="shared" si="43"/>
        <v>137.5</v>
      </c>
      <c r="S207" s="285">
        <f t="shared" si="44"/>
        <v>0.11564339781328847</v>
      </c>
      <c r="T207" s="270">
        <f t="shared" si="45"/>
        <v>161.9374233128834</v>
      </c>
      <c r="U207" s="270">
        <f t="shared" si="48"/>
        <v>0</v>
      </c>
      <c r="V207" s="284">
        <f t="shared" si="49"/>
        <v>0</v>
      </c>
      <c r="W207" s="337"/>
      <c r="X207" s="233">
        <f t="shared" si="50"/>
        <v>0</v>
      </c>
      <c r="Y207" s="250">
        <f t="shared" si="51"/>
        <v>0</v>
      </c>
    </row>
    <row r="208" spans="1:25" x14ac:dyDescent="0.25">
      <c r="A208" s="108">
        <f>Données!A208</f>
        <v>5746</v>
      </c>
      <c r="B208" s="116" t="str">
        <f>Données!B208</f>
        <v>Bavois</v>
      </c>
      <c r="C208" s="249">
        <f>Données!C208</f>
        <v>1055</v>
      </c>
      <c r="D208" s="262"/>
      <c r="E208" s="246">
        <f>Données!X208</f>
        <v>923</v>
      </c>
      <c r="F208" s="283">
        <f t="shared" si="39"/>
        <v>0.87488151658767777</v>
      </c>
      <c r="G208" s="262">
        <f t="shared" si="40"/>
        <v>791.3722007722007</v>
      </c>
      <c r="H208" s="270">
        <f t="shared" si="46"/>
        <v>131.6277992277993</v>
      </c>
      <c r="I208" s="284">
        <f t="shared" si="47"/>
        <v>-14074</v>
      </c>
      <c r="J208" s="262"/>
      <c r="K208" s="271">
        <f>Données!Y208</f>
        <v>0</v>
      </c>
      <c r="L208" s="418">
        <f>Données!Z208</f>
        <v>6.3E-2</v>
      </c>
      <c r="M208" s="262">
        <f t="shared" si="41"/>
        <v>37.049109792284867</v>
      </c>
      <c r="N208" s="284">
        <f t="shared" si="42"/>
        <v>0</v>
      </c>
      <c r="O208" s="262"/>
      <c r="P208" s="246">
        <f>Données!AA208</f>
        <v>125</v>
      </c>
      <c r="Q208" s="281">
        <f>Données!AB208</f>
        <v>68</v>
      </c>
      <c r="R208" s="233">
        <f t="shared" si="43"/>
        <v>135.19999999999999</v>
      </c>
      <c r="S208" s="285">
        <f t="shared" si="44"/>
        <v>0.12815165876777251</v>
      </c>
      <c r="T208" s="270">
        <f t="shared" si="45"/>
        <v>143.68711656441715</v>
      </c>
      <c r="U208" s="270">
        <f t="shared" si="48"/>
        <v>0</v>
      </c>
      <c r="V208" s="284">
        <f t="shared" si="49"/>
        <v>0</v>
      </c>
      <c r="W208" s="337"/>
      <c r="X208" s="233">
        <f t="shared" si="50"/>
        <v>0</v>
      </c>
      <c r="Y208" s="250">
        <f t="shared" si="51"/>
        <v>0</v>
      </c>
    </row>
    <row r="209" spans="1:25" x14ac:dyDescent="0.25">
      <c r="A209" s="108">
        <f>Données!A209</f>
        <v>5747</v>
      </c>
      <c r="B209" s="116" t="str">
        <f>Données!B209</f>
        <v>Bofflens</v>
      </c>
      <c r="C209" s="249">
        <f>Données!C209</f>
        <v>201</v>
      </c>
      <c r="D209" s="262"/>
      <c r="E209" s="246">
        <f>Données!X209</f>
        <v>416</v>
      </c>
      <c r="F209" s="283">
        <f t="shared" si="39"/>
        <v>2.0696517412935322</v>
      </c>
      <c r="G209" s="262">
        <f t="shared" si="40"/>
        <v>150.77328185328184</v>
      </c>
      <c r="H209" s="270">
        <f t="shared" si="46"/>
        <v>265.22671814671816</v>
      </c>
      <c r="I209" s="284">
        <f t="shared" si="47"/>
        <v>-28359</v>
      </c>
      <c r="J209" s="262"/>
      <c r="K209" s="271">
        <f>Données!Y209</f>
        <v>0</v>
      </c>
      <c r="L209" s="418">
        <f>Données!Z209</f>
        <v>2.1000000000000001E-2</v>
      </c>
      <c r="M209" s="262">
        <f t="shared" si="41"/>
        <v>12.349703264094956</v>
      </c>
      <c r="N209" s="284">
        <f t="shared" si="42"/>
        <v>0</v>
      </c>
      <c r="O209" s="262"/>
      <c r="P209" s="246">
        <f>Données!AA209</f>
        <v>24</v>
      </c>
      <c r="Q209" s="281">
        <f>Données!AB209</f>
        <v>24</v>
      </c>
      <c r="R209" s="233">
        <f t="shared" si="43"/>
        <v>27.6</v>
      </c>
      <c r="S209" s="285">
        <f t="shared" si="44"/>
        <v>0.1373134328358209</v>
      </c>
      <c r="T209" s="270">
        <f t="shared" si="45"/>
        <v>27.37546012269938</v>
      </c>
      <c r="U209" s="270">
        <f t="shared" si="48"/>
        <v>0.22453987730062153</v>
      </c>
      <c r="V209" s="284">
        <f t="shared" si="49"/>
        <v>-960</v>
      </c>
      <c r="W209" s="337"/>
      <c r="X209" s="233">
        <f t="shared" si="50"/>
        <v>-960</v>
      </c>
      <c r="Y209" s="250">
        <f t="shared" si="51"/>
        <v>0</v>
      </c>
    </row>
    <row r="210" spans="1:25" x14ac:dyDescent="0.25">
      <c r="A210" s="108">
        <f>Données!A210</f>
        <v>5748</v>
      </c>
      <c r="B210" s="116" t="str">
        <f>Données!B210</f>
        <v>Bretonnières</v>
      </c>
      <c r="C210" s="249">
        <f>Données!C210</f>
        <v>265</v>
      </c>
      <c r="D210" s="262"/>
      <c r="E210" s="246">
        <f>Données!X210</f>
        <v>548</v>
      </c>
      <c r="F210" s="283">
        <f t="shared" si="39"/>
        <v>2.0679245283018868</v>
      </c>
      <c r="G210" s="262">
        <f t="shared" si="40"/>
        <v>198.78069498069496</v>
      </c>
      <c r="H210" s="270">
        <f t="shared" si="46"/>
        <v>349.21930501930501</v>
      </c>
      <c r="I210" s="284">
        <f t="shared" si="47"/>
        <v>-37340</v>
      </c>
      <c r="J210" s="262"/>
      <c r="K210" s="271">
        <f>Données!Y210</f>
        <v>1</v>
      </c>
      <c r="L210" s="418">
        <f>Données!Z210</f>
        <v>0.13</v>
      </c>
      <c r="M210" s="262">
        <f t="shared" si="41"/>
        <v>76.450544015825912</v>
      </c>
      <c r="N210" s="284">
        <f t="shared" si="42"/>
        <v>-76</v>
      </c>
      <c r="O210" s="262"/>
      <c r="P210" s="246">
        <f>Données!AA210</f>
        <v>43</v>
      </c>
      <c r="Q210" s="281">
        <f>Données!AB210</f>
        <v>43</v>
      </c>
      <c r="R210" s="233">
        <f t="shared" si="43"/>
        <v>49.45</v>
      </c>
      <c r="S210" s="285">
        <f t="shared" si="44"/>
        <v>0.18660377358490568</v>
      </c>
      <c r="T210" s="270">
        <f t="shared" si="45"/>
        <v>36.092024539877293</v>
      </c>
      <c r="U210" s="270">
        <f t="shared" si="48"/>
        <v>13.357975460122709</v>
      </c>
      <c r="V210" s="284">
        <f t="shared" si="49"/>
        <v>-57131</v>
      </c>
      <c r="W210" s="337"/>
      <c r="X210" s="233">
        <f t="shared" si="50"/>
        <v>-27586.35014836795</v>
      </c>
      <c r="Y210" s="250">
        <f t="shared" si="51"/>
        <v>-29544.64985163205</v>
      </c>
    </row>
    <row r="211" spans="1:25" x14ac:dyDescent="0.25">
      <c r="A211" s="108">
        <f>Données!A211</f>
        <v>5749</v>
      </c>
      <c r="B211" s="116" t="str">
        <f>Données!B211</f>
        <v>Chavornay</v>
      </c>
      <c r="C211" s="249">
        <f>Données!C211</f>
        <v>5374</v>
      </c>
      <c r="D211" s="262"/>
      <c r="E211" s="246">
        <f>Données!X211</f>
        <v>1880</v>
      </c>
      <c r="F211" s="283">
        <f t="shared" si="39"/>
        <v>0.34983252698176404</v>
      </c>
      <c r="G211" s="262">
        <f t="shared" si="40"/>
        <v>4031.1224710424708</v>
      </c>
      <c r="H211" s="270">
        <f t="shared" si="46"/>
        <v>0</v>
      </c>
      <c r="I211" s="284">
        <f t="shared" si="47"/>
        <v>0</v>
      </c>
      <c r="J211" s="262"/>
      <c r="K211" s="271">
        <f>Données!Y211</f>
        <v>0</v>
      </c>
      <c r="L211" s="418">
        <f>Données!Z211</f>
        <v>4.2999999999999997E-2</v>
      </c>
      <c r="M211" s="262">
        <f t="shared" si="41"/>
        <v>25.287487636003952</v>
      </c>
      <c r="N211" s="284">
        <f t="shared" si="42"/>
        <v>0</v>
      </c>
      <c r="O211" s="262"/>
      <c r="P211" s="246">
        <f>Données!AA211</f>
        <v>712</v>
      </c>
      <c r="Q211" s="281">
        <f>Données!AB211</f>
        <v>111</v>
      </c>
      <c r="R211" s="233">
        <f t="shared" si="43"/>
        <v>728.65</v>
      </c>
      <c r="S211" s="285">
        <f t="shared" si="44"/>
        <v>0.13558801637513956</v>
      </c>
      <c r="T211" s="270">
        <f t="shared" si="45"/>
        <v>731.91901840490777</v>
      </c>
      <c r="U211" s="270">
        <f t="shared" si="48"/>
        <v>0</v>
      </c>
      <c r="V211" s="284">
        <f t="shared" si="49"/>
        <v>0</v>
      </c>
      <c r="W211" s="337"/>
      <c r="X211" s="233">
        <f t="shared" si="50"/>
        <v>0</v>
      </c>
      <c r="Y211" s="250">
        <f t="shared" si="51"/>
        <v>0</v>
      </c>
    </row>
    <row r="212" spans="1:25" x14ac:dyDescent="0.25">
      <c r="A212" s="108">
        <f>Données!A212</f>
        <v>5750</v>
      </c>
      <c r="B212" s="116" t="str">
        <f>Données!B212</f>
        <v>Les Clées</v>
      </c>
      <c r="C212" s="249">
        <f>Données!C212</f>
        <v>195</v>
      </c>
      <c r="D212" s="262"/>
      <c r="E212" s="246">
        <f>Données!X212</f>
        <v>692</v>
      </c>
      <c r="F212" s="283">
        <f t="shared" si="39"/>
        <v>3.5487179487179485</v>
      </c>
      <c r="G212" s="262">
        <f t="shared" si="40"/>
        <v>146.27258687258686</v>
      </c>
      <c r="H212" s="270">
        <f t="shared" si="46"/>
        <v>545.72741312741312</v>
      </c>
      <c r="I212" s="284">
        <f t="shared" si="47"/>
        <v>-58351</v>
      </c>
      <c r="J212" s="262"/>
      <c r="K212" s="271">
        <f>Données!Y212</f>
        <v>0</v>
      </c>
      <c r="L212" s="418">
        <f>Données!Z212</f>
        <v>0.35199999999999998</v>
      </c>
      <c r="M212" s="262">
        <f t="shared" si="41"/>
        <v>207.004549950544</v>
      </c>
      <c r="N212" s="284">
        <f t="shared" si="42"/>
        <v>0</v>
      </c>
      <c r="O212" s="262"/>
      <c r="P212" s="246">
        <f>Données!AA212</f>
        <v>23</v>
      </c>
      <c r="Q212" s="281">
        <f>Données!AB212</f>
        <v>23</v>
      </c>
      <c r="R212" s="233">
        <f t="shared" si="43"/>
        <v>26.45</v>
      </c>
      <c r="S212" s="285">
        <f t="shared" si="44"/>
        <v>0.13564102564102565</v>
      </c>
      <c r="T212" s="270">
        <f t="shared" si="45"/>
        <v>26.558282208588949</v>
      </c>
      <c r="U212" s="270">
        <f t="shared" si="48"/>
        <v>0</v>
      </c>
      <c r="V212" s="284">
        <f t="shared" si="49"/>
        <v>0</v>
      </c>
      <c r="W212" s="337"/>
      <c r="X212" s="233">
        <f t="shared" si="50"/>
        <v>0</v>
      </c>
      <c r="Y212" s="250">
        <f t="shared" si="51"/>
        <v>0</v>
      </c>
    </row>
    <row r="213" spans="1:25" x14ac:dyDescent="0.25">
      <c r="A213" s="108">
        <f>Données!A213</f>
        <v>5752</v>
      </c>
      <c r="B213" s="116" t="str">
        <f>Données!B213</f>
        <v>Croy</v>
      </c>
      <c r="C213" s="249">
        <f>Données!C213</f>
        <v>408</v>
      </c>
      <c r="D213" s="262"/>
      <c r="E213" s="246">
        <f>Données!X213</f>
        <v>451</v>
      </c>
      <c r="F213" s="283">
        <f t="shared" si="39"/>
        <v>1.1053921568627452</v>
      </c>
      <c r="G213" s="262">
        <f t="shared" si="40"/>
        <v>306.04725868725865</v>
      </c>
      <c r="H213" s="270">
        <f t="shared" si="46"/>
        <v>144.95274131274135</v>
      </c>
      <c r="I213" s="284">
        <f t="shared" si="47"/>
        <v>-15499</v>
      </c>
      <c r="J213" s="262"/>
      <c r="K213" s="271">
        <f>Données!Y213</f>
        <v>0</v>
      </c>
      <c r="L213" s="418">
        <f>Données!Z213</f>
        <v>0.13500000000000001</v>
      </c>
      <c r="M213" s="262">
        <f t="shared" si="41"/>
        <v>79.390949554896139</v>
      </c>
      <c r="N213" s="284">
        <f t="shared" si="42"/>
        <v>0</v>
      </c>
      <c r="O213" s="262"/>
      <c r="P213" s="246">
        <f>Données!AA213</f>
        <v>42</v>
      </c>
      <c r="Q213" s="281">
        <f>Données!AB213</f>
        <v>35</v>
      </c>
      <c r="R213" s="233">
        <f t="shared" si="43"/>
        <v>47.25</v>
      </c>
      <c r="S213" s="285">
        <f t="shared" si="44"/>
        <v>0.11580882352941177</v>
      </c>
      <c r="T213" s="270">
        <f t="shared" si="45"/>
        <v>55.568098159509191</v>
      </c>
      <c r="U213" s="270">
        <f t="shared" si="48"/>
        <v>0</v>
      </c>
      <c r="V213" s="284">
        <f t="shared" si="49"/>
        <v>0</v>
      </c>
      <c r="W213" s="337"/>
      <c r="X213" s="233">
        <f t="shared" si="50"/>
        <v>0</v>
      </c>
      <c r="Y213" s="250">
        <f t="shared" si="51"/>
        <v>0</v>
      </c>
    </row>
    <row r="214" spans="1:25" x14ac:dyDescent="0.25">
      <c r="A214" s="108">
        <f>Données!A214</f>
        <v>5754</v>
      </c>
      <c r="B214" s="116" t="str">
        <f>Données!B214</f>
        <v>Juriens</v>
      </c>
      <c r="C214" s="249">
        <f>Données!C214</f>
        <v>345</v>
      </c>
      <c r="D214" s="262"/>
      <c r="E214" s="246">
        <f>Données!X214</f>
        <v>932</v>
      </c>
      <c r="F214" s="283">
        <f t="shared" si="39"/>
        <v>2.7014492753623189</v>
      </c>
      <c r="G214" s="262">
        <f t="shared" si="40"/>
        <v>258.78996138996138</v>
      </c>
      <c r="H214" s="270">
        <f t="shared" si="46"/>
        <v>673.21003861003862</v>
      </c>
      <c r="I214" s="284">
        <f t="shared" si="47"/>
        <v>-71982</v>
      </c>
      <c r="J214" s="262"/>
      <c r="K214" s="271">
        <f>Données!Y214</f>
        <v>345</v>
      </c>
      <c r="L214" s="418">
        <f>Données!Z214</f>
        <v>0.152</v>
      </c>
      <c r="M214" s="262">
        <f t="shared" si="41"/>
        <v>89.388328387734916</v>
      </c>
      <c r="N214" s="284">
        <f t="shared" si="42"/>
        <v>-30839</v>
      </c>
      <c r="O214" s="262"/>
      <c r="P214" s="246">
        <f>Données!AA214</f>
        <v>37</v>
      </c>
      <c r="Q214" s="281">
        <f>Données!AB214</f>
        <v>27</v>
      </c>
      <c r="R214" s="233">
        <f t="shared" si="43"/>
        <v>41.05</v>
      </c>
      <c r="S214" s="285">
        <f t="shared" si="44"/>
        <v>0.1189855072463768</v>
      </c>
      <c r="T214" s="270">
        <f t="shared" si="45"/>
        <v>46.98773006134968</v>
      </c>
      <c r="U214" s="270">
        <f t="shared" si="48"/>
        <v>0</v>
      </c>
      <c r="V214" s="284">
        <f t="shared" si="49"/>
        <v>0</v>
      </c>
      <c r="W214" s="337"/>
      <c r="X214" s="233">
        <f t="shared" si="50"/>
        <v>0</v>
      </c>
      <c r="Y214" s="250">
        <f t="shared" si="51"/>
        <v>0</v>
      </c>
    </row>
    <row r="215" spans="1:25" x14ac:dyDescent="0.25">
      <c r="A215" s="108">
        <f>Données!A215</f>
        <v>5755</v>
      </c>
      <c r="B215" s="116" t="str">
        <f>Données!B215</f>
        <v>Lignerolle</v>
      </c>
      <c r="C215" s="249">
        <f>Données!C215</f>
        <v>452</v>
      </c>
      <c r="D215" s="262"/>
      <c r="E215" s="246">
        <f>Données!X215</f>
        <v>1060</v>
      </c>
      <c r="F215" s="283">
        <f t="shared" si="39"/>
        <v>2.3451327433628317</v>
      </c>
      <c r="G215" s="262">
        <f t="shared" si="40"/>
        <v>339.05235521235517</v>
      </c>
      <c r="H215" s="270">
        <f t="shared" si="46"/>
        <v>720.94764478764478</v>
      </c>
      <c r="I215" s="284">
        <f t="shared" si="47"/>
        <v>-77086</v>
      </c>
      <c r="J215" s="262"/>
      <c r="K215" s="271">
        <f>Données!Y215</f>
        <v>452</v>
      </c>
      <c r="L215" s="418">
        <f>Données!Z215</f>
        <v>0.25800000000000001</v>
      </c>
      <c r="M215" s="262">
        <f t="shared" si="41"/>
        <v>151.72492581602373</v>
      </c>
      <c r="N215" s="284">
        <f t="shared" si="42"/>
        <v>-68580</v>
      </c>
      <c r="O215" s="262"/>
      <c r="P215" s="246">
        <f>Données!AA215</f>
        <v>65</v>
      </c>
      <c r="Q215" s="281">
        <f>Données!AB215</f>
        <v>65</v>
      </c>
      <c r="R215" s="233">
        <f t="shared" si="43"/>
        <v>74.75</v>
      </c>
      <c r="S215" s="285">
        <f t="shared" si="44"/>
        <v>0.16537610619469026</v>
      </c>
      <c r="T215" s="270">
        <f t="shared" si="45"/>
        <v>61.560736196318999</v>
      </c>
      <c r="U215" s="270">
        <f t="shared" si="48"/>
        <v>13.189263803681001</v>
      </c>
      <c r="V215" s="284">
        <f t="shared" si="49"/>
        <v>-56410</v>
      </c>
      <c r="W215" s="337"/>
      <c r="X215" s="233">
        <f t="shared" si="50"/>
        <v>-41700.296735905045</v>
      </c>
      <c r="Y215" s="250">
        <f t="shared" si="51"/>
        <v>-14709.703264094955</v>
      </c>
    </row>
    <row r="216" spans="1:25" x14ac:dyDescent="0.25">
      <c r="A216" s="108">
        <f>Données!A216</f>
        <v>5756</v>
      </c>
      <c r="B216" s="116" t="str">
        <f>Données!B216</f>
        <v>Montcherand</v>
      </c>
      <c r="C216" s="249">
        <f>Données!C216</f>
        <v>494</v>
      </c>
      <c r="D216" s="262"/>
      <c r="E216" s="246">
        <f>Données!X216</f>
        <v>299</v>
      </c>
      <c r="F216" s="283">
        <f t="shared" si="39"/>
        <v>0.60526315789473684</v>
      </c>
      <c r="G216" s="262">
        <f t="shared" si="40"/>
        <v>370.55722007722005</v>
      </c>
      <c r="H216" s="270">
        <f t="shared" si="46"/>
        <v>0</v>
      </c>
      <c r="I216" s="284">
        <f t="shared" si="47"/>
        <v>0</v>
      </c>
      <c r="J216" s="262"/>
      <c r="K216" s="271">
        <f>Données!Y216</f>
        <v>0</v>
      </c>
      <c r="L216" s="418">
        <f>Données!Z216</f>
        <v>0.128</v>
      </c>
      <c r="M216" s="262">
        <f t="shared" si="41"/>
        <v>75.27438180019783</v>
      </c>
      <c r="N216" s="284">
        <f t="shared" si="42"/>
        <v>0</v>
      </c>
      <c r="O216" s="262"/>
      <c r="P216" s="246">
        <f>Données!AA216</f>
        <v>60</v>
      </c>
      <c r="Q216" s="281">
        <f>Données!AB216</f>
        <v>1</v>
      </c>
      <c r="R216" s="233">
        <f t="shared" si="43"/>
        <v>60.15</v>
      </c>
      <c r="S216" s="285">
        <f t="shared" si="44"/>
        <v>0.12176113360323887</v>
      </c>
      <c r="T216" s="270">
        <f t="shared" si="45"/>
        <v>67.280981595092001</v>
      </c>
      <c r="U216" s="270">
        <f t="shared" si="48"/>
        <v>0</v>
      </c>
      <c r="V216" s="284">
        <f t="shared" si="49"/>
        <v>0</v>
      </c>
      <c r="W216" s="337"/>
      <c r="X216" s="233">
        <f t="shared" si="50"/>
        <v>0</v>
      </c>
      <c r="Y216" s="250">
        <f t="shared" si="51"/>
        <v>0</v>
      </c>
    </row>
    <row r="217" spans="1:25" x14ac:dyDescent="0.25">
      <c r="A217" s="108">
        <f>Données!A217</f>
        <v>5757</v>
      </c>
      <c r="B217" s="116" t="str">
        <f>Données!B217</f>
        <v>Orbe</v>
      </c>
      <c r="C217" s="249">
        <f>Données!C217</f>
        <v>8008</v>
      </c>
      <c r="D217" s="262"/>
      <c r="E217" s="246">
        <f>Données!X217</f>
        <v>1162</v>
      </c>
      <c r="F217" s="283">
        <f t="shared" si="39"/>
        <v>0.1451048951048951</v>
      </c>
      <c r="G217" s="262">
        <f t="shared" si="40"/>
        <v>6006.9275675675672</v>
      </c>
      <c r="H217" s="270">
        <f t="shared" si="46"/>
        <v>0</v>
      </c>
      <c r="I217" s="284">
        <f t="shared" si="47"/>
        <v>0</v>
      </c>
      <c r="J217" s="262"/>
      <c r="K217" s="271">
        <f>Données!Y217</f>
        <v>0</v>
      </c>
      <c r="L217" s="418">
        <f>Données!Z217</f>
        <v>4.4999999999999998E-2</v>
      </c>
      <c r="M217" s="262">
        <f t="shared" si="41"/>
        <v>26.463649851632045</v>
      </c>
      <c r="N217" s="284">
        <f t="shared" si="42"/>
        <v>0</v>
      </c>
      <c r="O217" s="262"/>
      <c r="P217" s="246">
        <f>Données!AA217</f>
        <v>1020</v>
      </c>
      <c r="Q217" s="281">
        <f>Données!AB217</f>
        <v>118</v>
      </c>
      <c r="R217" s="233">
        <f t="shared" si="43"/>
        <v>1037.7</v>
      </c>
      <c r="S217" s="285">
        <f t="shared" si="44"/>
        <v>0.12958291708291708</v>
      </c>
      <c r="T217" s="270">
        <f t="shared" si="45"/>
        <v>1090.6601226993862</v>
      </c>
      <c r="U217" s="270">
        <f t="shared" si="48"/>
        <v>0</v>
      </c>
      <c r="V217" s="284">
        <f t="shared" si="49"/>
        <v>0</v>
      </c>
      <c r="W217" s="337"/>
      <c r="X217" s="233">
        <f t="shared" si="50"/>
        <v>0</v>
      </c>
      <c r="Y217" s="250">
        <f t="shared" si="51"/>
        <v>0</v>
      </c>
    </row>
    <row r="218" spans="1:25" x14ac:dyDescent="0.25">
      <c r="A218" s="108">
        <f>Données!A218</f>
        <v>5758</v>
      </c>
      <c r="B218" s="116" t="str">
        <f>Données!B218</f>
        <v>La Praz</v>
      </c>
      <c r="C218" s="249">
        <f>Données!C218</f>
        <v>214</v>
      </c>
      <c r="D218" s="262"/>
      <c r="E218" s="246">
        <f>Données!X218</f>
        <v>511</v>
      </c>
      <c r="F218" s="283">
        <f t="shared" si="39"/>
        <v>2.3878504672897196</v>
      </c>
      <c r="G218" s="262">
        <f t="shared" si="40"/>
        <v>160.52478764478764</v>
      </c>
      <c r="H218" s="270">
        <f t="shared" si="46"/>
        <v>350.47521235521236</v>
      </c>
      <c r="I218" s="284">
        <f t="shared" si="47"/>
        <v>-37474</v>
      </c>
      <c r="J218" s="262"/>
      <c r="K218" s="271">
        <f>Données!Y218</f>
        <v>214</v>
      </c>
      <c r="L218" s="418">
        <f>Données!Z218</f>
        <v>0.217</v>
      </c>
      <c r="M218" s="262">
        <f t="shared" si="41"/>
        <v>127.61360039564786</v>
      </c>
      <c r="N218" s="284">
        <f t="shared" si="42"/>
        <v>-27309</v>
      </c>
      <c r="O218" s="262"/>
      <c r="P218" s="246">
        <f>Données!AA218</f>
        <v>24</v>
      </c>
      <c r="Q218" s="281">
        <f>Données!AB218</f>
        <v>24</v>
      </c>
      <c r="R218" s="233">
        <f t="shared" si="43"/>
        <v>27.6</v>
      </c>
      <c r="S218" s="285">
        <f t="shared" si="44"/>
        <v>0.12897196261682245</v>
      </c>
      <c r="T218" s="270">
        <f t="shared" si="45"/>
        <v>29.146012269938641</v>
      </c>
      <c r="U218" s="270">
        <f t="shared" si="48"/>
        <v>0</v>
      </c>
      <c r="V218" s="284">
        <f t="shared" si="49"/>
        <v>0</v>
      </c>
      <c r="W218" s="337"/>
      <c r="X218" s="233">
        <f t="shared" si="50"/>
        <v>0</v>
      </c>
      <c r="Y218" s="250">
        <f t="shared" si="51"/>
        <v>0</v>
      </c>
    </row>
    <row r="219" spans="1:25" x14ac:dyDescent="0.25">
      <c r="A219" s="108">
        <f>Données!A219</f>
        <v>5759</v>
      </c>
      <c r="B219" s="116" t="str">
        <f>Données!B219</f>
        <v>Premier</v>
      </c>
      <c r="C219" s="249">
        <f>Données!C219</f>
        <v>233</v>
      </c>
      <c r="D219" s="262"/>
      <c r="E219" s="246">
        <f>Données!X219</f>
        <v>605</v>
      </c>
      <c r="F219" s="283">
        <f t="shared" si="39"/>
        <v>2.5965665236051501</v>
      </c>
      <c r="G219" s="262">
        <f t="shared" si="40"/>
        <v>174.77698841698839</v>
      </c>
      <c r="H219" s="270">
        <f t="shared" si="46"/>
        <v>430.22301158301161</v>
      </c>
      <c r="I219" s="284">
        <f t="shared" si="47"/>
        <v>-46001</v>
      </c>
      <c r="J219" s="262"/>
      <c r="K219" s="271">
        <f>Données!Y219</f>
        <v>233</v>
      </c>
      <c r="L219" s="418">
        <f>Données!Z219</f>
        <v>0.20899999999999999</v>
      </c>
      <c r="M219" s="262">
        <f t="shared" si="41"/>
        <v>122.90895153313551</v>
      </c>
      <c r="N219" s="284">
        <f t="shared" si="42"/>
        <v>-28638</v>
      </c>
      <c r="O219" s="262"/>
      <c r="P219" s="246">
        <f>Données!AA219</f>
        <v>34</v>
      </c>
      <c r="Q219" s="281">
        <f>Données!AB219</f>
        <v>34</v>
      </c>
      <c r="R219" s="233">
        <f t="shared" si="43"/>
        <v>39.1</v>
      </c>
      <c r="S219" s="285">
        <f t="shared" si="44"/>
        <v>0.16781115879828326</v>
      </c>
      <c r="T219" s="270">
        <f t="shared" si="45"/>
        <v>31.733742331288337</v>
      </c>
      <c r="U219" s="270">
        <f t="shared" si="48"/>
        <v>7.3662576687116648</v>
      </c>
      <c r="V219" s="284">
        <f t="shared" si="49"/>
        <v>-31505</v>
      </c>
      <c r="W219" s="337"/>
      <c r="X219" s="233">
        <f t="shared" si="50"/>
        <v>-21812.462908011868</v>
      </c>
      <c r="Y219" s="250">
        <f t="shared" si="51"/>
        <v>-9692.5370919881316</v>
      </c>
    </row>
    <row r="220" spans="1:25" x14ac:dyDescent="0.25">
      <c r="A220" s="108">
        <f>Données!A220</f>
        <v>5760</v>
      </c>
      <c r="B220" s="116" t="str">
        <f>Données!B220</f>
        <v>Rances</v>
      </c>
      <c r="C220" s="249">
        <f>Données!C220</f>
        <v>513</v>
      </c>
      <c r="D220" s="262"/>
      <c r="E220" s="246">
        <f>Données!X220</f>
        <v>982</v>
      </c>
      <c r="F220" s="283">
        <f t="shared" si="39"/>
        <v>1.9142300194931774</v>
      </c>
      <c r="G220" s="262">
        <f t="shared" si="40"/>
        <v>384.8094208494208</v>
      </c>
      <c r="H220" s="270">
        <f t="shared" si="46"/>
        <v>597.1905791505792</v>
      </c>
      <c r="I220" s="284">
        <f t="shared" si="47"/>
        <v>-63854</v>
      </c>
      <c r="J220" s="262"/>
      <c r="K220" s="271">
        <f>Données!Y220</f>
        <v>0</v>
      </c>
      <c r="L220" s="418">
        <f>Données!Z220</f>
        <v>0.26900000000000002</v>
      </c>
      <c r="M220" s="262">
        <f t="shared" si="41"/>
        <v>158.19381800197826</v>
      </c>
      <c r="N220" s="284">
        <f t="shared" si="42"/>
        <v>0</v>
      </c>
      <c r="O220" s="262"/>
      <c r="P220" s="246">
        <f>Données!AA220</f>
        <v>54</v>
      </c>
      <c r="Q220" s="281">
        <f>Données!AB220</f>
        <v>38</v>
      </c>
      <c r="R220" s="233">
        <f t="shared" si="43"/>
        <v>59.7</v>
      </c>
      <c r="S220" s="285">
        <f t="shared" si="44"/>
        <v>0.11637426900584796</v>
      </c>
      <c r="T220" s="270">
        <f t="shared" si="45"/>
        <v>69.868711656441704</v>
      </c>
      <c r="U220" s="270">
        <f t="shared" si="48"/>
        <v>0</v>
      </c>
      <c r="V220" s="284">
        <f t="shared" si="49"/>
        <v>0</v>
      </c>
      <c r="W220" s="337"/>
      <c r="X220" s="233">
        <f t="shared" si="50"/>
        <v>0</v>
      </c>
      <c r="Y220" s="250">
        <f t="shared" si="51"/>
        <v>0</v>
      </c>
    </row>
    <row r="221" spans="1:25" x14ac:dyDescent="0.25">
      <c r="A221" s="108">
        <f>Données!A221</f>
        <v>5761</v>
      </c>
      <c r="B221" s="116" t="str">
        <f>Données!B221</f>
        <v>Romainmôtier-Envy</v>
      </c>
      <c r="C221" s="249">
        <f>Données!C221</f>
        <v>579</v>
      </c>
      <c r="D221" s="262"/>
      <c r="E221" s="246">
        <f>Données!X221</f>
        <v>696</v>
      </c>
      <c r="F221" s="283">
        <f t="shared" si="39"/>
        <v>1.2020725388601037</v>
      </c>
      <c r="G221" s="262">
        <f t="shared" si="40"/>
        <v>434.31706563706558</v>
      </c>
      <c r="H221" s="270">
        <f t="shared" si="46"/>
        <v>261.68293436293442</v>
      </c>
      <c r="I221" s="284">
        <f t="shared" si="47"/>
        <v>-27980</v>
      </c>
      <c r="J221" s="262"/>
      <c r="K221" s="271">
        <f>Données!Y221</f>
        <v>7</v>
      </c>
      <c r="L221" s="418">
        <f>Données!Z221</f>
        <v>0.19400000000000001</v>
      </c>
      <c r="M221" s="262">
        <f t="shared" si="41"/>
        <v>114.08773491592483</v>
      </c>
      <c r="N221" s="284">
        <f t="shared" si="42"/>
        <v>-799</v>
      </c>
      <c r="O221" s="262"/>
      <c r="P221" s="246">
        <f>Données!AA221</f>
        <v>63</v>
      </c>
      <c r="Q221" s="281">
        <f>Données!AB221</f>
        <v>52</v>
      </c>
      <c r="R221" s="233">
        <f t="shared" si="43"/>
        <v>70.8</v>
      </c>
      <c r="S221" s="285">
        <f t="shared" si="44"/>
        <v>0.12227979274611399</v>
      </c>
      <c r="T221" s="270">
        <f t="shared" si="45"/>
        <v>78.857668711656416</v>
      </c>
      <c r="U221" s="270">
        <f t="shared" si="48"/>
        <v>0</v>
      </c>
      <c r="V221" s="284">
        <f t="shared" si="49"/>
        <v>0</v>
      </c>
      <c r="W221" s="337"/>
      <c r="X221" s="233">
        <f t="shared" si="50"/>
        <v>0</v>
      </c>
      <c r="Y221" s="250">
        <f t="shared" si="51"/>
        <v>0</v>
      </c>
    </row>
    <row r="222" spans="1:25" x14ac:dyDescent="0.25">
      <c r="A222" s="108">
        <f>Données!A222</f>
        <v>5762</v>
      </c>
      <c r="B222" s="116" t="str">
        <f>Données!B222</f>
        <v>Sergey</v>
      </c>
      <c r="C222" s="249">
        <f>Données!C222</f>
        <v>165</v>
      </c>
      <c r="D222" s="262"/>
      <c r="E222" s="246">
        <f>Données!X222</f>
        <v>147</v>
      </c>
      <c r="F222" s="283">
        <f t="shared" si="39"/>
        <v>0.89090909090909087</v>
      </c>
      <c r="G222" s="262">
        <f t="shared" si="40"/>
        <v>123.76911196911196</v>
      </c>
      <c r="H222" s="270">
        <f t="shared" si="46"/>
        <v>23.230888030888039</v>
      </c>
      <c r="I222" s="284">
        <f t="shared" si="47"/>
        <v>-2484</v>
      </c>
      <c r="J222" s="262"/>
      <c r="K222" s="271">
        <f>Données!Y222</f>
        <v>0</v>
      </c>
      <c r="L222" s="418">
        <f>Données!Z222</f>
        <v>0.06</v>
      </c>
      <c r="M222" s="262">
        <f t="shared" si="41"/>
        <v>35.284866468842729</v>
      </c>
      <c r="N222" s="284">
        <f t="shared" si="42"/>
        <v>0</v>
      </c>
      <c r="O222" s="262"/>
      <c r="P222" s="246">
        <f>Données!AA222</f>
        <v>18</v>
      </c>
      <c r="Q222" s="281">
        <f>Données!AB222</f>
        <v>7</v>
      </c>
      <c r="R222" s="233">
        <f t="shared" si="43"/>
        <v>19.05</v>
      </c>
      <c r="S222" s="285">
        <f t="shared" si="44"/>
        <v>0.11545454545454546</v>
      </c>
      <c r="T222" s="270">
        <f t="shared" si="45"/>
        <v>22.472392638036805</v>
      </c>
      <c r="U222" s="270">
        <f t="shared" si="48"/>
        <v>0</v>
      </c>
      <c r="V222" s="284">
        <f t="shared" si="49"/>
        <v>0</v>
      </c>
      <c r="W222" s="337"/>
      <c r="X222" s="233">
        <f t="shared" si="50"/>
        <v>0</v>
      </c>
      <c r="Y222" s="250">
        <f t="shared" si="51"/>
        <v>0</v>
      </c>
    </row>
    <row r="223" spans="1:25" x14ac:dyDescent="0.25">
      <c r="A223" s="108">
        <f>Données!A223</f>
        <v>5763</v>
      </c>
      <c r="B223" s="116" t="str">
        <f>Données!B223</f>
        <v>Valeyres-sous-Rances</v>
      </c>
      <c r="C223" s="249">
        <f>Données!C223</f>
        <v>573</v>
      </c>
      <c r="D223" s="262"/>
      <c r="E223" s="246">
        <f>Données!X223</f>
        <v>630</v>
      </c>
      <c r="F223" s="283">
        <f t="shared" si="39"/>
        <v>1.0994764397905759</v>
      </c>
      <c r="G223" s="262">
        <f t="shared" si="40"/>
        <v>429.81637065637062</v>
      </c>
      <c r="H223" s="270">
        <f t="shared" si="46"/>
        <v>200.18362934362938</v>
      </c>
      <c r="I223" s="284">
        <f t="shared" si="47"/>
        <v>-21404</v>
      </c>
      <c r="J223" s="262"/>
      <c r="K223" s="271">
        <f>Données!Y223</f>
        <v>0</v>
      </c>
      <c r="L223" s="418">
        <f>Données!Z223</f>
        <v>3.4000000000000002E-2</v>
      </c>
      <c r="M223" s="262">
        <f t="shared" si="41"/>
        <v>19.994757665677547</v>
      </c>
      <c r="N223" s="284">
        <f t="shared" si="42"/>
        <v>0</v>
      </c>
      <c r="O223" s="262"/>
      <c r="P223" s="246">
        <f>Données!AA223</f>
        <v>80</v>
      </c>
      <c r="Q223" s="281">
        <f>Données!AB223</f>
        <v>60</v>
      </c>
      <c r="R223" s="233">
        <f t="shared" si="43"/>
        <v>89</v>
      </c>
      <c r="S223" s="285">
        <f t="shared" si="44"/>
        <v>0.15532286212914484</v>
      </c>
      <c r="T223" s="270">
        <f t="shared" si="45"/>
        <v>78.040490797545985</v>
      </c>
      <c r="U223" s="270">
        <f t="shared" si="48"/>
        <v>10.959509202454015</v>
      </c>
      <c r="V223" s="284">
        <f t="shared" si="49"/>
        <v>-46873</v>
      </c>
      <c r="W223" s="337"/>
      <c r="X223" s="233">
        <f t="shared" si="50"/>
        <v>-38492.581602373888</v>
      </c>
      <c r="Y223" s="250">
        <f t="shared" si="51"/>
        <v>-8380.418397626112</v>
      </c>
    </row>
    <row r="224" spans="1:25" x14ac:dyDescent="0.25">
      <c r="A224" s="108">
        <f>Données!A224</f>
        <v>5764</v>
      </c>
      <c r="B224" s="116" t="str">
        <f>Données!B224</f>
        <v>Vallorbe</v>
      </c>
      <c r="C224" s="249">
        <f>Données!C224</f>
        <v>4434</v>
      </c>
      <c r="D224" s="262"/>
      <c r="E224" s="246">
        <f>Données!X224</f>
        <v>2279</v>
      </c>
      <c r="F224" s="283">
        <f t="shared" si="39"/>
        <v>0.51398285972034286</v>
      </c>
      <c r="G224" s="262">
        <f t="shared" si="40"/>
        <v>3326.0135907335903</v>
      </c>
      <c r="H224" s="270">
        <f t="shared" si="46"/>
        <v>0</v>
      </c>
      <c r="I224" s="284">
        <f t="shared" si="47"/>
        <v>0</v>
      </c>
      <c r="J224" s="262"/>
      <c r="K224" s="271">
        <f>Données!Y224</f>
        <v>4434</v>
      </c>
      <c r="L224" s="418">
        <f>Données!Z224</f>
        <v>0.48199999999999998</v>
      </c>
      <c r="M224" s="262">
        <f t="shared" si="41"/>
        <v>283.45509396636993</v>
      </c>
      <c r="N224" s="284">
        <f t="shared" si="42"/>
        <v>-1256840</v>
      </c>
      <c r="O224" s="262"/>
      <c r="P224" s="246">
        <f>Données!AA224</f>
        <v>594</v>
      </c>
      <c r="Q224" s="281">
        <f>Données!AB224</f>
        <v>20</v>
      </c>
      <c r="R224" s="233">
        <f t="shared" si="43"/>
        <v>597</v>
      </c>
      <c r="S224" s="285">
        <f t="shared" si="44"/>
        <v>0.13464140730717186</v>
      </c>
      <c r="T224" s="270">
        <f t="shared" si="45"/>
        <v>603.89447852760725</v>
      </c>
      <c r="U224" s="270">
        <f t="shared" si="48"/>
        <v>0</v>
      </c>
      <c r="V224" s="284">
        <f t="shared" si="49"/>
        <v>0</v>
      </c>
      <c r="W224" s="337"/>
      <c r="X224" s="233">
        <f t="shared" si="50"/>
        <v>0</v>
      </c>
      <c r="Y224" s="250">
        <f t="shared" si="51"/>
        <v>0</v>
      </c>
    </row>
    <row r="225" spans="1:25" x14ac:dyDescent="0.25">
      <c r="A225" s="108">
        <f>Données!A225</f>
        <v>5765</v>
      </c>
      <c r="B225" s="116" t="str">
        <f>Données!B225</f>
        <v>Vaulion</v>
      </c>
      <c r="C225" s="249">
        <f>Données!C225</f>
        <v>500</v>
      </c>
      <c r="D225" s="262"/>
      <c r="E225" s="246">
        <f>Données!X225</f>
        <v>1315</v>
      </c>
      <c r="F225" s="283">
        <f t="shared" si="39"/>
        <v>2.63</v>
      </c>
      <c r="G225" s="262">
        <f t="shared" si="40"/>
        <v>375.05791505791501</v>
      </c>
      <c r="H225" s="270">
        <f t="shared" si="46"/>
        <v>939.94208494208499</v>
      </c>
      <c r="I225" s="284">
        <f t="shared" si="47"/>
        <v>-100502</v>
      </c>
      <c r="J225" s="262"/>
      <c r="K225" s="271">
        <f>Données!Y225</f>
        <v>500</v>
      </c>
      <c r="L225" s="418">
        <f>Données!Z225</f>
        <v>0.26900000000000002</v>
      </c>
      <c r="M225" s="262">
        <f t="shared" si="41"/>
        <v>158.19381800197826</v>
      </c>
      <c r="N225" s="284">
        <f t="shared" si="42"/>
        <v>-79097</v>
      </c>
      <c r="O225" s="262"/>
      <c r="P225" s="246">
        <f>Données!AA225</f>
        <v>63</v>
      </c>
      <c r="Q225" s="281">
        <f>Données!AB225</f>
        <v>29</v>
      </c>
      <c r="R225" s="233">
        <f t="shared" si="43"/>
        <v>67.349999999999994</v>
      </c>
      <c r="S225" s="285">
        <f t="shared" si="44"/>
        <v>0.13469999999999999</v>
      </c>
      <c r="T225" s="270">
        <f t="shared" si="45"/>
        <v>68.098159509202432</v>
      </c>
      <c r="U225" s="270">
        <f t="shared" si="48"/>
        <v>0</v>
      </c>
      <c r="V225" s="284">
        <f t="shared" si="49"/>
        <v>0</v>
      </c>
      <c r="W225" s="337"/>
      <c r="X225" s="233">
        <f t="shared" si="50"/>
        <v>0</v>
      </c>
      <c r="Y225" s="250">
        <f t="shared" si="51"/>
        <v>0</v>
      </c>
    </row>
    <row r="226" spans="1:25" x14ac:dyDescent="0.25">
      <c r="A226" s="108">
        <f>Données!A226</f>
        <v>5766</v>
      </c>
      <c r="B226" s="116" t="str">
        <f>Données!B226</f>
        <v>Vuiteboeuf</v>
      </c>
      <c r="C226" s="249">
        <f>Données!C226</f>
        <v>616</v>
      </c>
      <c r="D226" s="262"/>
      <c r="E226" s="246">
        <f>Données!X226</f>
        <v>509</v>
      </c>
      <c r="F226" s="283">
        <f t="shared" si="39"/>
        <v>0.82629870129870131</v>
      </c>
      <c r="G226" s="262">
        <f t="shared" si="40"/>
        <v>462.07135135135132</v>
      </c>
      <c r="H226" s="270">
        <f t="shared" si="46"/>
        <v>46.928648648648675</v>
      </c>
      <c r="I226" s="284">
        <f t="shared" si="47"/>
        <v>-5018</v>
      </c>
      <c r="J226" s="262"/>
      <c r="K226" s="271">
        <f>Données!Y226</f>
        <v>0</v>
      </c>
      <c r="L226" s="418">
        <f>Données!Z226</f>
        <v>0.217</v>
      </c>
      <c r="M226" s="262">
        <f t="shared" si="41"/>
        <v>127.61360039564786</v>
      </c>
      <c r="N226" s="284">
        <f t="shared" si="42"/>
        <v>0</v>
      </c>
      <c r="O226" s="262"/>
      <c r="P226" s="246">
        <f>Données!AA226</f>
        <v>70</v>
      </c>
      <c r="Q226" s="281">
        <f>Données!AB226</f>
        <v>70</v>
      </c>
      <c r="R226" s="233">
        <f t="shared" si="43"/>
        <v>80.5</v>
      </c>
      <c r="S226" s="285">
        <f t="shared" si="44"/>
        <v>0.13068181818181818</v>
      </c>
      <c r="T226" s="270">
        <f t="shared" si="45"/>
        <v>83.896932515337397</v>
      </c>
      <c r="U226" s="270">
        <f t="shared" si="48"/>
        <v>0</v>
      </c>
      <c r="V226" s="284">
        <f t="shared" si="49"/>
        <v>0</v>
      </c>
      <c r="W226" s="337"/>
      <c r="X226" s="233">
        <f t="shared" si="50"/>
        <v>0</v>
      </c>
      <c r="Y226" s="250">
        <f t="shared" si="51"/>
        <v>0</v>
      </c>
    </row>
    <row r="227" spans="1:25" x14ac:dyDescent="0.25">
      <c r="A227" s="108">
        <f>Données!A227</f>
        <v>5785</v>
      </c>
      <c r="B227" s="116" t="str">
        <f>Données!B227</f>
        <v>Corcelles-le-Jorat</v>
      </c>
      <c r="C227" s="249">
        <f>Données!C227</f>
        <v>495</v>
      </c>
      <c r="D227" s="262"/>
      <c r="E227" s="246">
        <f>Données!X227</f>
        <v>793</v>
      </c>
      <c r="F227" s="283">
        <f t="shared" si="39"/>
        <v>1.6020202020202021</v>
      </c>
      <c r="G227" s="262">
        <f t="shared" si="40"/>
        <v>371.30733590733587</v>
      </c>
      <c r="H227" s="270">
        <f t="shared" si="46"/>
        <v>421.69266409266413</v>
      </c>
      <c r="I227" s="284">
        <f t="shared" si="47"/>
        <v>-45089</v>
      </c>
      <c r="J227" s="262"/>
      <c r="K227" s="271">
        <f>Données!Y227</f>
        <v>495</v>
      </c>
      <c r="L227" s="418">
        <f>Données!Z227</f>
        <v>6.6000000000000003E-2</v>
      </c>
      <c r="M227" s="262">
        <f t="shared" si="41"/>
        <v>38.813353115727004</v>
      </c>
      <c r="N227" s="284">
        <f t="shared" si="42"/>
        <v>-19213</v>
      </c>
      <c r="O227" s="262"/>
      <c r="P227" s="246">
        <f>Données!AA227</f>
        <v>60</v>
      </c>
      <c r="Q227" s="281">
        <f>Données!AB227</f>
        <v>60</v>
      </c>
      <c r="R227" s="233">
        <f t="shared" si="43"/>
        <v>69</v>
      </c>
      <c r="S227" s="285">
        <f t="shared" si="44"/>
        <v>0.1393939393939394</v>
      </c>
      <c r="T227" s="270">
        <f t="shared" si="45"/>
        <v>67.417177914110411</v>
      </c>
      <c r="U227" s="270">
        <f t="shared" si="48"/>
        <v>1.5828220858895889</v>
      </c>
      <c r="V227" s="284">
        <f t="shared" si="49"/>
        <v>-6770</v>
      </c>
      <c r="W227" s="337"/>
      <c r="X227" s="233">
        <f t="shared" si="50"/>
        <v>-6770</v>
      </c>
      <c r="Y227" s="250">
        <f t="shared" si="51"/>
        <v>0</v>
      </c>
    </row>
    <row r="228" spans="1:25" x14ac:dyDescent="0.25">
      <c r="A228" s="108">
        <f>Données!A228</f>
        <v>5790</v>
      </c>
      <c r="B228" s="116" t="str">
        <f>Données!B228</f>
        <v>Maracon</v>
      </c>
      <c r="C228" s="249">
        <f>Données!C228</f>
        <v>565</v>
      </c>
      <c r="D228" s="262"/>
      <c r="E228" s="246">
        <f>Données!X228</f>
        <v>428</v>
      </c>
      <c r="F228" s="283">
        <f t="shared" si="39"/>
        <v>0.75752212389380535</v>
      </c>
      <c r="G228" s="262">
        <f t="shared" si="40"/>
        <v>423.81544401544397</v>
      </c>
      <c r="H228" s="270">
        <f t="shared" si="46"/>
        <v>4.1845559845560274</v>
      </c>
      <c r="I228" s="284">
        <f t="shared" si="47"/>
        <v>-447</v>
      </c>
      <c r="J228" s="262"/>
      <c r="K228" s="271">
        <f>Données!Y228</f>
        <v>565</v>
      </c>
      <c r="L228" s="418">
        <f>Données!Z228</f>
        <v>6.6000000000000003E-2</v>
      </c>
      <c r="M228" s="262">
        <f t="shared" si="41"/>
        <v>38.813353115727004</v>
      </c>
      <c r="N228" s="284">
        <f t="shared" si="42"/>
        <v>-21930</v>
      </c>
      <c r="O228" s="262"/>
      <c r="P228" s="246">
        <f>Données!AA228</f>
        <v>72</v>
      </c>
      <c r="Q228" s="281">
        <f>Données!AB228</f>
        <v>72</v>
      </c>
      <c r="R228" s="233">
        <f t="shared" si="43"/>
        <v>82.8</v>
      </c>
      <c r="S228" s="285">
        <f t="shared" si="44"/>
        <v>0.14654867256637166</v>
      </c>
      <c r="T228" s="270">
        <f t="shared" si="45"/>
        <v>76.950920245398748</v>
      </c>
      <c r="U228" s="270">
        <f t="shared" si="48"/>
        <v>5.8490797546012487</v>
      </c>
      <c r="V228" s="284">
        <f t="shared" si="49"/>
        <v>-25016</v>
      </c>
      <c r="W228" s="337"/>
      <c r="X228" s="233">
        <f t="shared" si="50"/>
        <v>-25016</v>
      </c>
      <c r="Y228" s="250">
        <f t="shared" si="51"/>
        <v>0</v>
      </c>
    </row>
    <row r="229" spans="1:25" x14ac:dyDescent="0.25">
      <c r="A229" s="108">
        <f>Données!A229</f>
        <v>5792</v>
      </c>
      <c r="B229" s="116" t="str">
        <f>Données!B229</f>
        <v>Montpreveyres</v>
      </c>
      <c r="C229" s="249">
        <f>Données!C229</f>
        <v>670</v>
      </c>
      <c r="D229" s="262"/>
      <c r="E229" s="246">
        <f>Données!X229</f>
        <v>414</v>
      </c>
      <c r="F229" s="283">
        <f t="shared" si="39"/>
        <v>0.61791044776119408</v>
      </c>
      <c r="G229" s="262">
        <f t="shared" si="40"/>
        <v>502.57760617760613</v>
      </c>
      <c r="H229" s="270">
        <f t="shared" si="46"/>
        <v>0</v>
      </c>
      <c r="I229" s="284">
        <f t="shared" si="47"/>
        <v>0</v>
      </c>
      <c r="J229" s="262"/>
      <c r="K229" s="271">
        <f>Données!Y229</f>
        <v>670</v>
      </c>
      <c r="L229" s="418">
        <f>Données!Z229</f>
        <v>9.5000000000000001E-2</v>
      </c>
      <c r="M229" s="262">
        <f t="shared" si="41"/>
        <v>55.867705242334324</v>
      </c>
      <c r="N229" s="284">
        <f t="shared" si="42"/>
        <v>-37431</v>
      </c>
      <c r="O229" s="262"/>
      <c r="P229" s="246">
        <f>Données!AA229</f>
        <v>62</v>
      </c>
      <c r="Q229" s="281">
        <f>Données!AB229</f>
        <v>62</v>
      </c>
      <c r="R229" s="233">
        <f t="shared" si="43"/>
        <v>71.3</v>
      </c>
      <c r="S229" s="285">
        <f t="shared" si="44"/>
        <v>0.10641791044776119</v>
      </c>
      <c r="T229" s="270">
        <f t="shared" si="45"/>
        <v>91.251533742331262</v>
      </c>
      <c r="U229" s="270">
        <f t="shared" si="48"/>
        <v>0</v>
      </c>
      <c r="V229" s="284">
        <f t="shared" si="49"/>
        <v>0</v>
      </c>
      <c r="W229" s="337"/>
      <c r="X229" s="233">
        <f t="shared" si="50"/>
        <v>0</v>
      </c>
      <c r="Y229" s="250">
        <f t="shared" si="51"/>
        <v>0</v>
      </c>
    </row>
    <row r="230" spans="1:25" x14ac:dyDescent="0.25">
      <c r="A230" s="108">
        <f>Données!A230</f>
        <v>5798</v>
      </c>
      <c r="B230" s="116" t="str">
        <f>Données!B230</f>
        <v>Ropraz</v>
      </c>
      <c r="C230" s="249">
        <f>Données!C230</f>
        <v>535</v>
      </c>
      <c r="D230" s="262"/>
      <c r="E230" s="246">
        <f>Données!X230</f>
        <v>474</v>
      </c>
      <c r="F230" s="283">
        <f t="shared" si="39"/>
        <v>0.88598130841121492</v>
      </c>
      <c r="G230" s="262">
        <f t="shared" si="40"/>
        <v>401.31196911196906</v>
      </c>
      <c r="H230" s="270">
        <f t="shared" si="46"/>
        <v>72.688030888030937</v>
      </c>
      <c r="I230" s="284">
        <f t="shared" si="47"/>
        <v>-7772</v>
      </c>
      <c r="J230" s="262"/>
      <c r="K230" s="271">
        <f>Données!Y230</f>
        <v>403</v>
      </c>
      <c r="L230" s="418">
        <f>Données!Z230</f>
        <v>0.123</v>
      </c>
      <c r="M230" s="262">
        <f t="shared" si="41"/>
        <v>72.333976261127589</v>
      </c>
      <c r="N230" s="284">
        <f t="shared" si="42"/>
        <v>-29151</v>
      </c>
      <c r="O230" s="262"/>
      <c r="P230" s="246">
        <f>Données!AA230</f>
        <v>75</v>
      </c>
      <c r="Q230" s="281">
        <f>Données!AB230</f>
        <v>60</v>
      </c>
      <c r="R230" s="233">
        <f t="shared" si="43"/>
        <v>84</v>
      </c>
      <c r="S230" s="285">
        <f t="shared" si="44"/>
        <v>0.15700934579439252</v>
      </c>
      <c r="T230" s="270">
        <f t="shared" si="45"/>
        <v>72.865030674846608</v>
      </c>
      <c r="U230" s="270">
        <f t="shared" si="48"/>
        <v>11.134969325153392</v>
      </c>
      <c r="V230" s="284">
        <f t="shared" si="49"/>
        <v>-47624</v>
      </c>
      <c r="W230" s="337"/>
      <c r="X230" s="233">
        <f t="shared" si="50"/>
        <v>-38492.581602373888</v>
      </c>
      <c r="Y230" s="250">
        <f t="shared" si="51"/>
        <v>-9131.418397626112</v>
      </c>
    </row>
    <row r="231" spans="1:25" x14ac:dyDescent="0.25">
      <c r="A231" s="108">
        <f>Données!A231</f>
        <v>5799</v>
      </c>
      <c r="B231" s="116" t="str">
        <f>Données!B231</f>
        <v>Servion</v>
      </c>
      <c r="C231" s="249">
        <f>Données!C231</f>
        <v>2241</v>
      </c>
      <c r="D231" s="262"/>
      <c r="E231" s="246">
        <f>Données!X231</f>
        <v>628</v>
      </c>
      <c r="F231" s="283">
        <f t="shared" si="39"/>
        <v>0.28023203926818385</v>
      </c>
      <c r="G231" s="262">
        <f t="shared" si="40"/>
        <v>1681.0095752895752</v>
      </c>
      <c r="H231" s="270">
        <f t="shared" si="46"/>
        <v>0</v>
      </c>
      <c r="I231" s="284">
        <f t="shared" si="47"/>
        <v>0</v>
      </c>
      <c r="J231" s="262"/>
      <c r="K231" s="271">
        <f>Données!Y231</f>
        <v>2241</v>
      </c>
      <c r="L231" s="418">
        <f>Données!Z231</f>
        <v>6.7000000000000004E-2</v>
      </c>
      <c r="M231" s="262">
        <f t="shared" si="41"/>
        <v>39.401434223541052</v>
      </c>
      <c r="N231" s="284">
        <f t="shared" si="42"/>
        <v>-88299</v>
      </c>
      <c r="O231" s="262"/>
      <c r="P231" s="246">
        <f>Données!AA231</f>
        <v>304</v>
      </c>
      <c r="Q231" s="281">
        <f>Données!AB231</f>
        <v>196</v>
      </c>
      <c r="R231" s="233">
        <f t="shared" si="43"/>
        <v>333.4</v>
      </c>
      <c r="S231" s="285">
        <f t="shared" si="44"/>
        <v>0.14877286925479696</v>
      </c>
      <c r="T231" s="270">
        <f t="shared" si="45"/>
        <v>305.21595092024529</v>
      </c>
      <c r="U231" s="270">
        <f t="shared" si="48"/>
        <v>28.184049079754686</v>
      </c>
      <c r="V231" s="284">
        <f t="shared" si="49"/>
        <v>-120542</v>
      </c>
      <c r="W231" s="337"/>
      <c r="X231" s="233">
        <f t="shared" si="50"/>
        <v>-120542</v>
      </c>
      <c r="Y231" s="250">
        <f t="shared" si="51"/>
        <v>0</v>
      </c>
    </row>
    <row r="232" spans="1:25" x14ac:dyDescent="0.25">
      <c r="A232" s="108">
        <f>Données!A232</f>
        <v>5803</v>
      </c>
      <c r="B232" s="116" t="str">
        <f>Données!B232</f>
        <v>Vulliens</v>
      </c>
      <c r="C232" s="249">
        <f>Données!C232</f>
        <v>630</v>
      </c>
      <c r="D232" s="262"/>
      <c r="E232" s="246">
        <f>Données!X232</f>
        <v>653</v>
      </c>
      <c r="F232" s="283">
        <f t="shared" si="39"/>
        <v>1.0365079365079366</v>
      </c>
      <c r="G232" s="262">
        <f t="shared" si="40"/>
        <v>472.57297297297293</v>
      </c>
      <c r="H232" s="270">
        <f t="shared" si="46"/>
        <v>180.42702702702707</v>
      </c>
      <c r="I232" s="284">
        <f t="shared" si="47"/>
        <v>-19292</v>
      </c>
      <c r="J232" s="262"/>
      <c r="K232" s="271">
        <f>Données!Y232</f>
        <v>39</v>
      </c>
      <c r="L232" s="418">
        <f>Données!Z232</f>
        <v>0.111</v>
      </c>
      <c r="M232" s="262">
        <f t="shared" si="41"/>
        <v>65.277002967359053</v>
      </c>
      <c r="N232" s="284">
        <f t="shared" si="42"/>
        <v>-2546</v>
      </c>
      <c r="O232" s="262"/>
      <c r="P232" s="246">
        <f>Données!AA232</f>
        <v>82</v>
      </c>
      <c r="Q232" s="281">
        <f>Données!AB232</f>
        <v>67</v>
      </c>
      <c r="R232" s="233">
        <f t="shared" si="43"/>
        <v>92.05</v>
      </c>
      <c r="S232" s="285">
        <f t="shared" si="44"/>
        <v>0.14611111111111111</v>
      </c>
      <c r="T232" s="270">
        <f t="shared" si="45"/>
        <v>85.803680981595065</v>
      </c>
      <c r="U232" s="270">
        <f t="shared" si="48"/>
        <v>6.2463190184049324</v>
      </c>
      <c r="V232" s="284">
        <f t="shared" si="49"/>
        <v>-26715</v>
      </c>
      <c r="W232" s="337"/>
      <c r="X232" s="233">
        <f t="shared" si="50"/>
        <v>-26715</v>
      </c>
      <c r="Y232" s="250">
        <f t="shared" si="51"/>
        <v>0</v>
      </c>
    </row>
    <row r="233" spans="1:25" x14ac:dyDescent="0.25">
      <c r="A233" s="108">
        <f>Données!A233</f>
        <v>5804</v>
      </c>
      <c r="B233" s="116" t="str">
        <f>Données!B233</f>
        <v>Jorat-Menthue</v>
      </c>
      <c r="C233" s="249">
        <f>Données!C233</f>
        <v>1564</v>
      </c>
      <c r="D233" s="262"/>
      <c r="E233" s="246">
        <f>Données!X233</f>
        <v>1768</v>
      </c>
      <c r="F233" s="283">
        <f t="shared" si="39"/>
        <v>1.1304347826086956</v>
      </c>
      <c r="G233" s="262">
        <f t="shared" si="40"/>
        <v>1173.1811583011581</v>
      </c>
      <c r="H233" s="270">
        <f t="shared" si="46"/>
        <v>594.81884169884188</v>
      </c>
      <c r="I233" s="284">
        <f t="shared" si="47"/>
        <v>-63600</v>
      </c>
      <c r="J233" s="262"/>
      <c r="K233" s="271">
        <f>Données!Y233</f>
        <v>1535</v>
      </c>
      <c r="L233" s="418">
        <f>Données!Z233</f>
        <v>9.5000000000000001E-2</v>
      </c>
      <c r="M233" s="262">
        <f t="shared" si="41"/>
        <v>55.867705242334324</v>
      </c>
      <c r="N233" s="284">
        <f t="shared" si="42"/>
        <v>-85757</v>
      </c>
      <c r="O233" s="262"/>
      <c r="P233" s="246">
        <f>Données!AA233</f>
        <v>196</v>
      </c>
      <c r="Q233" s="281">
        <f>Données!AB233</f>
        <v>195</v>
      </c>
      <c r="R233" s="233">
        <f t="shared" si="43"/>
        <v>225.25</v>
      </c>
      <c r="S233" s="285">
        <f t="shared" si="44"/>
        <v>0.14402173913043478</v>
      </c>
      <c r="T233" s="270">
        <f t="shared" si="45"/>
        <v>213.01104294478523</v>
      </c>
      <c r="U233" s="270">
        <f t="shared" si="48"/>
        <v>12.238957055214769</v>
      </c>
      <c r="V233" s="284">
        <f t="shared" si="49"/>
        <v>-52345</v>
      </c>
      <c r="W233" s="337"/>
      <c r="X233" s="233">
        <f t="shared" si="50"/>
        <v>-52345</v>
      </c>
      <c r="Y233" s="250">
        <f t="shared" si="51"/>
        <v>0</v>
      </c>
    </row>
    <row r="234" spans="1:25" x14ac:dyDescent="0.25">
      <c r="A234" s="108">
        <f>Données!A234</f>
        <v>5805</v>
      </c>
      <c r="B234" s="116" t="str">
        <f>Données!B234</f>
        <v>Oron</v>
      </c>
      <c r="C234" s="249">
        <f>Données!C234</f>
        <v>6451</v>
      </c>
      <c r="D234" s="262"/>
      <c r="E234" s="246">
        <f>Données!X234</f>
        <v>2616</v>
      </c>
      <c r="F234" s="283">
        <f t="shared" si="39"/>
        <v>0.40551852425980467</v>
      </c>
      <c r="G234" s="262">
        <f t="shared" si="40"/>
        <v>4838.9972200772199</v>
      </c>
      <c r="H234" s="270">
        <f t="shared" si="46"/>
        <v>0</v>
      </c>
      <c r="I234" s="284">
        <f t="shared" si="47"/>
        <v>0</v>
      </c>
      <c r="J234" s="262"/>
      <c r="K234" s="271">
        <f>Données!Y234</f>
        <v>1059</v>
      </c>
      <c r="L234" s="418">
        <f>Données!Z234</f>
        <v>5.5E-2</v>
      </c>
      <c r="M234" s="262">
        <f t="shared" si="41"/>
        <v>32.344460929772502</v>
      </c>
      <c r="N234" s="284">
        <f t="shared" si="42"/>
        <v>-34253</v>
      </c>
      <c r="O234" s="262"/>
      <c r="P234" s="246">
        <f>Données!AA234</f>
        <v>850</v>
      </c>
      <c r="Q234" s="281">
        <f>Données!AB234</f>
        <v>312</v>
      </c>
      <c r="R234" s="233">
        <f t="shared" si="43"/>
        <v>896.8</v>
      </c>
      <c r="S234" s="285">
        <f t="shared" si="44"/>
        <v>0.13901720663463027</v>
      </c>
      <c r="T234" s="270">
        <f t="shared" si="45"/>
        <v>878.60245398772986</v>
      </c>
      <c r="U234" s="270">
        <f t="shared" si="48"/>
        <v>18.197546012270095</v>
      </c>
      <c r="V234" s="284">
        <f t="shared" si="49"/>
        <v>-77830</v>
      </c>
      <c r="W234" s="337"/>
      <c r="X234" s="233">
        <f t="shared" si="50"/>
        <v>-77830</v>
      </c>
      <c r="Y234" s="250">
        <f t="shared" si="51"/>
        <v>0</v>
      </c>
    </row>
    <row r="235" spans="1:25" x14ac:dyDescent="0.25">
      <c r="A235" s="108">
        <f>Données!A235</f>
        <v>5806</v>
      </c>
      <c r="B235" s="116" t="str">
        <f>Données!B235</f>
        <v>Jorat-Mézières</v>
      </c>
      <c r="C235" s="249">
        <f>Données!C235</f>
        <v>3209</v>
      </c>
      <c r="D235" s="262"/>
      <c r="E235" s="246">
        <f>Données!X235</f>
        <v>1112</v>
      </c>
      <c r="F235" s="283">
        <f t="shared" si="39"/>
        <v>0.3465253973200374</v>
      </c>
      <c r="G235" s="262">
        <f t="shared" si="40"/>
        <v>2407.1216988416986</v>
      </c>
      <c r="H235" s="270">
        <f t="shared" si="46"/>
        <v>0</v>
      </c>
      <c r="I235" s="284">
        <f t="shared" si="47"/>
        <v>0</v>
      </c>
      <c r="J235" s="262"/>
      <c r="K235" s="271">
        <f>Données!Y235</f>
        <v>2018</v>
      </c>
      <c r="L235" s="418">
        <f>Données!Z235</f>
        <v>5.1999999999999998E-2</v>
      </c>
      <c r="M235" s="262">
        <f t="shared" si="41"/>
        <v>30.580217606330365</v>
      </c>
      <c r="N235" s="284">
        <f t="shared" si="42"/>
        <v>-61711</v>
      </c>
      <c r="O235" s="262"/>
      <c r="P235" s="246">
        <f>Données!AA235</f>
        <v>427</v>
      </c>
      <c r="Q235" s="281">
        <f>Données!AB235</f>
        <v>28</v>
      </c>
      <c r="R235" s="233">
        <f t="shared" si="43"/>
        <v>431.2</v>
      </c>
      <c r="S235" s="285">
        <f t="shared" si="44"/>
        <v>0.1343720785291368</v>
      </c>
      <c r="T235" s="270">
        <f t="shared" si="45"/>
        <v>437.05398773006124</v>
      </c>
      <c r="U235" s="270">
        <f t="shared" si="48"/>
        <v>0</v>
      </c>
      <c r="V235" s="284">
        <f t="shared" si="49"/>
        <v>0</v>
      </c>
      <c r="W235" s="337"/>
      <c r="X235" s="233">
        <f t="shared" si="50"/>
        <v>0</v>
      </c>
      <c r="Y235" s="250">
        <f t="shared" si="51"/>
        <v>0</v>
      </c>
    </row>
    <row r="236" spans="1:25" x14ac:dyDescent="0.25">
      <c r="A236" s="108">
        <f>Données!A236</f>
        <v>5812</v>
      </c>
      <c r="B236" s="116" t="str">
        <f>Données!B236</f>
        <v>Champtauroz</v>
      </c>
      <c r="C236" s="249">
        <f>Données!C236</f>
        <v>184</v>
      </c>
      <c r="D236" s="262"/>
      <c r="E236" s="246">
        <f>Données!X236</f>
        <v>302</v>
      </c>
      <c r="F236" s="283">
        <f t="shared" si="39"/>
        <v>1.6413043478260869</v>
      </c>
      <c r="G236" s="262">
        <f t="shared" si="40"/>
        <v>138.02131274131273</v>
      </c>
      <c r="H236" s="270">
        <f t="shared" si="46"/>
        <v>163.97868725868727</v>
      </c>
      <c r="I236" s="284">
        <f t="shared" si="47"/>
        <v>-17533</v>
      </c>
      <c r="J236" s="262"/>
      <c r="K236" s="271">
        <f>Données!Y236</f>
        <v>0</v>
      </c>
      <c r="L236" s="418">
        <f>Données!Z236</f>
        <v>2.1000000000000001E-2</v>
      </c>
      <c r="M236" s="262">
        <f t="shared" si="41"/>
        <v>12.349703264094956</v>
      </c>
      <c r="N236" s="284">
        <f t="shared" si="42"/>
        <v>0</v>
      </c>
      <c r="O236" s="262"/>
      <c r="P236" s="246">
        <f>Données!AA236</f>
        <v>36</v>
      </c>
      <c r="Q236" s="281">
        <f>Données!AB236</f>
        <v>36</v>
      </c>
      <c r="R236" s="233">
        <f t="shared" si="43"/>
        <v>41.4</v>
      </c>
      <c r="S236" s="285">
        <f t="shared" si="44"/>
        <v>0.22500000000000001</v>
      </c>
      <c r="T236" s="270">
        <f t="shared" si="45"/>
        <v>25.060122699386497</v>
      </c>
      <c r="U236" s="270">
        <f t="shared" si="48"/>
        <v>16.339877300613502</v>
      </c>
      <c r="V236" s="284">
        <f t="shared" si="49"/>
        <v>-69885</v>
      </c>
      <c r="W236" s="337"/>
      <c r="X236" s="233">
        <f t="shared" si="50"/>
        <v>-23095.548961424331</v>
      </c>
      <c r="Y236" s="250">
        <f t="shared" si="51"/>
        <v>-46789.451038575673</v>
      </c>
    </row>
    <row r="237" spans="1:25" x14ac:dyDescent="0.25">
      <c r="A237" s="108">
        <f>Données!A237</f>
        <v>5813</v>
      </c>
      <c r="B237" s="116" t="str">
        <f>Données!B237</f>
        <v>Chevroux</v>
      </c>
      <c r="C237" s="249">
        <f>Données!C237</f>
        <v>487</v>
      </c>
      <c r="D237" s="262"/>
      <c r="E237" s="246">
        <f>Données!X237</f>
        <v>335</v>
      </c>
      <c r="F237" s="283">
        <f t="shared" si="39"/>
        <v>0.68788501026694049</v>
      </c>
      <c r="G237" s="262">
        <f t="shared" si="40"/>
        <v>365.30640926640922</v>
      </c>
      <c r="H237" s="270">
        <f t="shared" si="46"/>
        <v>0</v>
      </c>
      <c r="I237" s="284">
        <f t="shared" si="47"/>
        <v>0</v>
      </c>
      <c r="J237" s="262"/>
      <c r="K237" s="271">
        <f>Données!Y237</f>
        <v>0</v>
      </c>
      <c r="L237" s="418">
        <f>Données!Z237</f>
        <v>2.4E-2</v>
      </c>
      <c r="M237" s="262">
        <f t="shared" si="41"/>
        <v>14.113946587537091</v>
      </c>
      <c r="N237" s="284">
        <f t="shared" si="42"/>
        <v>0</v>
      </c>
      <c r="O237" s="262"/>
      <c r="P237" s="246">
        <f>Données!AA237</f>
        <v>60</v>
      </c>
      <c r="Q237" s="281">
        <f>Données!AB237</f>
        <v>60</v>
      </c>
      <c r="R237" s="233">
        <f t="shared" si="43"/>
        <v>69</v>
      </c>
      <c r="S237" s="285">
        <f t="shared" si="44"/>
        <v>0.14168377823408623</v>
      </c>
      <c r="T237" s="270">
        <f t="shared" si="45"/>
        <v>66.327607361963175</v>
      </c>
      <c r="U237" s="270">
        <f t="shared" si="48"/>
        <v>2.6723926380368255</v>
      </c>
      <c r="V237" s="284">
        <f t="shared" si="49"/>
        <v>-11430</v>
      </c>
      <c r="W237" s="337"/>
      <c r="X237" s="233">
        <f t="shared" si="50"/>
        <v>-11430</v>
      </c>
      <c r="Y237" s="250">
        <f t="shared" si="51"/>
        <v>0</v>
      </c>
    </row>
    <row r="238" spans="1:25" x14ac:dyDescent="0.25">
      <c r="A238" s="108">
        <f>Données!A238</f>
        <v>5816</v>
      </c>
      <c r="B238" s="116" t="str">
        <f>Données!B238</f>
        <v>Corcelles-près-Payerne</v>
      </c>
      <c r="C238" s="249">
        <f>Données!C238</f>
        <v>3129</v>
      </c>
      <c r="D238" s="262"/>
      <c r="E238" s="246">
        <f>Données!X238</f>
        <v>1188</v>
      </c>
      <c r="F238" s="283">
        <f t="shared" si="39"/>
        <v>0.37967401725790989</v>
      </c>
      <c r="G238" s="262">
        <f t="shared" si="40"/>
        <v>2347.1124324324323</v>
      </c>
      <c r="H238" s="270">
        <f t="shared" si="46"/>
        <v>0</v>
      </c>
      <c r="I238" s="284">
        <f t="shared" si="47"/>
        <v>0</v>
      </c>
      <c r="J238" s="262"/>
      <c r="K238" s="271">
        <f>Données!Y238</f>
        <v>0</v>
      </c>
      <c r="L238" s="418">
        <f>Données!Z238</f>
        <v>2.3E-2</v>
      </c>
      <c r="M238" s="262">
        <f t="shared" si="41"/>
        <v>13.525865479723047</v>
      </c>
      <c r="N238" s="284">
        <f t="shared" si="42"/>
        <v>0</v>
      </c>
      <c r="O238" s="262"/>
      <c r="P238" s="246">
        <f>Données!AA238</f>
        <v>426</v>
      </c>
      <c r="Q238" s="281">
        <f>Données!AB238</f>
        <v>64</v>
      </c>
      <c r="R238" s="233">
        <f t="shared" si="43"/>
        <v>435.6</v>
      </c>
      <c r="S238" s="285">
        <f t="shared" si="44"/>
        <v>0.13921380632790029</v>
      </c>
      <c r="T238" s="270">
        <f t="shared" si="45"/>
        <v>426.15828220858884</v>
      </c>
      <c r="U238" s="270">
        <f t="shared" si="48"/>
        <v>9.441717791411179</v>
      </c>
      <c r="V238" s="284">
        <f t="shared" si="49"/>
        <v>-40382</v>
      </c>
      <c r="W238" s="337"/>
      <c r="X238" s="233">
        <f t="shared" si="50"/>
        <v>-40382</v>
      </c>
      <c r="Y238" s="250">
        <f t="shared" si="51"/>
        <v>0</v>
      </c>
    </row>
    <row r="239" spans="1:25" x14ac:dyDescent="0.25">
      <c r="A239" s="108">
        <f>Données!A239</f>
        <v>5817</v>
      </c>
      <c r="B239" s="116" t="str">
        <f>Données!B239</f>
        <v>Grandcour</v>
      </c>
      <c r="C239" s="249">
        <f>Données!C239</f>
        <v>970</v>
      </c>
      <c r="D239" s="262"/>
      <c r="E239" s="246">
        <f>Données!X239</f>
        <v>1016</v>
      </c>
      <c r="F239" s="283">
        <f t="shared" si="39"/>
        <v>1.0474226804123712</v>
      </c>
      <c r="G239" s="262">
        <f t="shared" si="40"/>
        <v>727.61235521235517</v>
      </c>
      <c r="H239" s="270">
        <f t="shared" si="46"/>
        <v>288.38764478764483</v>
      </c>
      <c r="I239" s="284">
        <f t="shared" si="47"/>
        <v>-30836</v>
      </c>
      <c r="J239" s="262"/>
      <c r="K239" s="271">
        <f>Données!Y239</f>
        <v>0</v>
      </c>
      <c r="L239" s="418">
        <f>Données!Z239</f>
        <v>1.4E-2</v>
      </c>
      <c r="M239" s="262">
        <f t="shared" si="41"/>
        <v>8.2331355093966376</v>
      </c>
      <c r="N239" s="284">
        <f t="shared" si="42"/>
        <v>0</v>
      </c>
      <c r="O239" s="262"/>
      <c r="P239" s="246">
        <f>Données!AA239</f>
        <v>136</v>
      </c>
      <c r="Q239" s="281">
        <f>Données!AB239</f>
        <v>96</v>
      </c>
      <c r="R239" s="233">
        <f t="shared" si="43"/>
        <v>150.4</v>
      </c>
      <c r="S239" s="285">
        <f t="shared" si="44"/>
        <v>0.15505154639175259</v>
      </c>
      <c r="T239" s="270">
        <f t="shared" si="45"/>
        <v>132.11042944785274</v>
      </c>
      <c r="U239" s="270">
        <f t="shared" si="48"/>
        <v>18.289570552147268</v>
      </c>
      <c r="V239" s="284">
        <f t="shared" si="49"/>
        <v>-78224</v>
      </c>
      <c r="W239" s="337"/>
      <c r="X239" s="233">
        <f t="shared" si="50"/>
        <v>-61588.130563798208</v>
      </c>
      <c r="Y239" s="250">
        <f t="shared" si="51"/>
        <v>-16635.869436201792</v>
      </c>
    </row>
    <row r="240" spans="1:25" x14ac:dyDescent="0.25">
      <c r="A240" s="108">
        <f>Données!A240</f>
        <v>5819</v>
      </c>
      <c r="B240" s="116" t="str">
        <f>Données!B240</f>
        <v>Henniez</v>
      </c>
      <c r="C240" s="249">
        <f>Données!C240</f>
        <v>464</v>
      </c>
      <c r="D240" s="262"/>
      <c r="E240" s="246">
        <f>Données!X240</f>
        <v>252</v>
      </c>
      <c r="F240" s="283">
        <f t="shared" si="39"/>
        <v>0.5431034482758621</v>
      </c>
      <c r="G240" s="262">
        <f t="shared" si="40"/>
        <v>348.05374517374514</v>
      </c>
      <c r="H240" s="270">
        <f t="shared" si="46"/>
        <v>0</v>
      </c>
      <c r="I240" s="284">
        <f t="shared" si="47"/>
        <v>0</v>
      </c>
      <c r="J240" s="262"/>
      <c r="K240" s="271">
        <f>Données!Y240</f>
        <v>0</v>
      </c>
      <c r="L240" s="418">
        <f>Données!Z240</f>
        <v>0.107</v>
      </c>
      <c r="M240" s="262">
        <f t="shared" si="41"/>
        <v>62.924678536102867</v>
      </c>
      <c r="N240" s="284">
        <f t="shared" si="42"/>
        <v>0</v>
      </c>
      <c r="O240" s="262"/>
      <c r="P240" s="246">
        <f>Données!AA240</f>
        <v>70</v>
      </c>
      <c r="Q240" s="281">
        <f>Données!AB240</f>
        <v>70</v>
      </c>
      <c r="R240" s="233">
        <f t="shared" si="43"/>
        <v>80.5</v>
      </c>
      <c r="S240" s="285">
        <f t="shared" si="44"/>
        <v>0.17349137931034483</v>
      </c>
      <c r="T240" s="270">
        <f t="shared" si="45"/>
        <v>63.195092024539861</v>
      </c>
      <c r="U240" s="270">
        <f t="shared" si="48"/>
        <v>17.304907975460139</v>
      </c>
      <c r="V240" s="284">
        <f t="shared" si="49"/>
        <v>-74012</v>
      </c>
      <c r="W240" s="337"/>
      <c r="X240" s="233">
        <f t="shared" si="50"/>
        <v>-44908.011869436203</v>
      </c>
      <c r="Y240" s="250">
        <f t="shared" si="51"/>
        <v>-29103.988130563797</v>
      </c>
    </row>
    <row r="241" spans="1:25" x14ac:dyDescent="0.25">
      <c r="A241" s="108">
        <f>Données!A241</f>
        <v>5821</v>
      </c>
      <c r="B241" s="116" t="str">
        <f>Données!B241</f>
        <v>Missy</v>
      </c>
      <c r="C241" s="249">
        <f>Données!C241</f>
        <v>379</v>
      </c>
      <c r="D241" s="262"/>
      <c r="E241" s="246">
        <f>Données!X241</f>
        <v>301</v>
      </c>
      <c r="F241" s="283">
        <f t="shared" si="39"/>
        <v>0.79419525065963059</v>
      </c>
      <c r="G241" s="262">
        <f t="shared" si="40"/>
        <v>284.29389961389961</v>
      </c>
      <c r="H241" s="270">
        <f t="shared" si="46"/>
        <v>16.706100386100388</v>
      </c>
      <c r="I241" s="284">
        <f t="shared" si="47"/>
        <v>-1786</v>
      </c>
      <c r="J241" s="262"/>
      <c r="K241" s="271">
        <f>Données!Y241</f>
        <v>0</v>
      </c>
      <c r="L241" s="418">
        <f>Données!Z241</f>
        <v>0.02</v>
      </c>
      <c r="M241" s="262">
        <f t="shared" si="41"/>
        <v>11.761622156280909</v>
      </c>
      <c r="N241" s="284">
        <f t="shared" si="42"/>
        <v>0</v>
      </c>
      <c r="O241" s="262"/>
      <c r="P241" s="246">
        <f>Données!AA241</f>
        <v>64</v>
      </c>
      <c r="Q241" s="281">
        <f>Données!AB241</f>
        <v>64</v>
      </c>
      <c r="R241" s="233">
        <f t="shared" si="43"/>
        <v>73.599999999999994</v>
      </c>
      <c r="S241" s="285">
        <f t="shared" si="44"/>
        <v>0.19419525065963059</v>
      </c>
      <c r="T241" s="270">
        <f t="shared" si="45"/>
        <v>51.618404907975446</v>
      </c>
      <c r="U241" s="270">
        <f t="shared" si="48"/>
        <v>21.981595092024548</v>
      </c>
      <c r="V241" s="284">
        <f t="shared" si="49"/>
        <v>-94014</v>
      </c>
      <c r="W241" s="337"/>
      <c r="X241" s="233">
        <f t="shared" si="50"/>
        <v>-41058.753709198812</v>
      </c>
      <c r="Y241" s="250">
        <f t="shared" si="51"/>
        <v>-52955.246290801188</v>
      </c>
    </row>
    <row r="242" spans="1:25" x14ac:dyDescent="0.25">
      <c r="A242" s="108">
        <f>Données!A242</f>
        <v>5822</v>
      </c>
      <c r="B242" s="116" t="str">
        <f>Données!B242</f>
        <v>Payerne</v>
      </c>
      <c r="C242" s="249">
        <f>Données!C242</f>
        <v>10972</v>
      </c>
      <c r="D242" s="262"/>
      <c r="E242" s="246">
        <f>Données!X242</f>
        <v>2376</v>
      </c>
      <c r="F242" s="283">
        <f t="shared" si="39"/>
        <v>0.21655122129055779</v>
      </c>
      <c r="G242" s="262">
        <f t="shared" si="40"/>
        <v>8230.2708880308874</v>
      </c>
      <c r="H242" s="270">
        <f t="shared" si="46"/>
        <v>0</v>
      </c>
      <c r="I242" s="284">
        <f t="shared" si="47"/>
        <v>0</v>
      </c>
      <c r="J242" s="262"/>
      <c r="K242" s="271">
        <f>Données!Y242</f>
        <v>0</v>
      </c>
      <c r="L242" s="418">
        <f>Données!Z242</f>
        <v>3.1E-2</v>
      </c>
      <c r="M242" s="262">
        <f t="shared" si="41"/>
        <v>18.230514342235409</v>
      </c>
      <c r="N242" s="284">
        <f t="shared" si="42"/>
        <v>0</v>
      </c>
      <c r="O242" s="262"/>
      <c r="P242" s="246">
        <f>Données!AA242</f>
        <v>1441</v>
      </c>
      <c r="Q242" s="281">
        <f>Données!AB242</f>
        <v>36</v>
      </c>
      <c r="R242" s="233">
        <f t="shared" si="43"/>
        <v>1446.4</v>
      </c>
      <c r="S242" s="285">
        <f t="shared" si="44"/>
        <v>0.13182646737149106</v>
      </c>
      <c r="T242" s="270">
        <f t="shared" si="45"/>
        <v>1494.3460122699382</v>
      </c>
      <c r="U242" s="270">
        <f t="shared" si="48"/>
        <v>0</v>
      </c>
      <c r="V242" s="284">
        <f t="shared" si="49"/>
        <v>0</v>
      </c>
      <c r="W242" s="337"/>
      <c r="X242" s="233">
        <f t="shared" si="50"/>
        <v>0</v>
      </c>
      <c r="Y242" s="250">
        <f t="shared" si="51"/>
        <v>0</v>
      </c>
    </row>
    <row r="243" spans="1:25" x14ac:dyDescent="0.25">
      <c r="A243" s="108">
        <f>Données!A243</f>
        <v>5827</v>
      </c>
      <c r="B243" s="116" t="str">
        <f>Données!B243</f>
        <v>Trey</v>
      </c>
      <c r="C243" s="249">
        <f>Données!C243</f>
        <v>305</v>
      </c>
      <c r="D243" s="262"/>
      <c r="E243" s="246">
        <f>Données!X243</f>
        <v>372</v>
      </c>
      <c r="F243" s="283">
        <f t="shared" si="39"/>
        <v>1.2196721311475409</v>
      </c>
      <c r="G243" s="262">
        <f t="shared" si="40"/>
        <v>228.78532818532815</v>
      </c>
      <c r="H243" s="270">
        <f t="shared" si="46"/>
        <v>143.21467181467185</v>
      </c>
      <c r="I243" s="284">
        <f t="shared" si="47"/>
        <v>-15313</v>
      </c>
      <c r="J243" s="262"/>
      <c r="K243" s="271">
        <f>Données!Y243</f>
        <v>0</v>
      </c>
      <c r="L243" s="418">
        <f>Données!Z243</f>
        <v>7.1999999999999995E-2</v>
      </c>
      <c r="M243" s="262">
        <f t="shared" si="41"/>
        <v>42.341839762611272</v>
      </c>
      <c r="N243" s="284">
        <f t="shared" si="42"/>
        <v>0</v>
      </c>
      <c r="O243" s="262"/>
      <c r="P243" s="246">
        <f>Données!AA243</f>
        <v>35</v>
      </c>
      <c r="Q243" s="281">
        <f>Données!AB243</f>
        <v>35</v>
      </c>
      <c r="R243" s="233">
        <f t="shared" si="43"/>
        <v>40.25</v>
      </c>
      <c r="S243" s="285">
        <f t="shared" si="44"/>
        <v>0.13196721311475409</v>
      </c>
      <c r="T243" s="270">
        <f t="shared" si="45"/>
        <v>41.539877300613483</v>
      </c>
      <c r="U243" s="270">
        <f t="shared" si="48"/>
        <v>0</v>
      </c>
      <c r="V243" s="284">
        <f t="shared" si="49"/>
        <v>0</v>
      </c>
      <c r="W243" s="337"/>
      <c r="X243" s="233">
        <f t="shared" si="50"/>
        <v>0</v>
      </c>
      <c r="Y243" s="250">
        <f t="shared" si="51"/>
        <v>0</v>
      </c>
    </row>
    <row r="244" spans="1:25" x14ac:dyDescent="0.25">
      <c r="A244" s="108">
        <f>Données!A244</f>
        <v>5828</v>
      </c>
      <c r="B244" s="116" t="str">
        <f>Données!B244</f>
        <v>Treytorrens (Payerne)</v>
      </c>
      <c r="C244" s="249">
        <f>Données!C244</f>
        <v>108</v>
      </c>
      <c r="D244" s="262"/>
      <c r="E244" s="246">
        <f>Données!X244</f>
        <v>310</v>
      </c>
      <c r="F244" s="283">
        <f t="shared" si="39"/>
        <v>2.8703703703703702</v>
      </c>
      <c r="G244" s="262">
        <f t="shared" si="40"/>
        <v>81.01250965250965</v>
      </c>
      <c r="H244" s="270">
        <f t="shared" si="46"/>
        <v>228.98749034749034</v>
      </c>
      <c r="I244" s="284">
        <f t="shared" si="47"/>
        <v>-24484</v>
      </c>
      <c r="J244" s="262"/>
      <c r="K244" s="271">
        <f>Données!Y244</f>
        <v>0</v>
      </c>
      <c r="L244" s="418">
        <f>Données!Z244</f>
        <v>0.04</v>
      </c>
      <c r="M244" s="262">
        <f t="shared" si="41"/>
        <v>23.523244312561818</v>
      </c>
      <c r="N244" s="284">
        <f t="shared" si="42"/>
        <v>0</v>
      </c>
      <c r="O244" s="262"/>
      <c r="P244" s="246">
        <f>Données!AA244</f>
        <v>7</v>
      </c>
      <c r="Q244" s="281">
        <f>Données!AB244</f>
        <v>6</v>
      </c>
      <c r="R244" s="233">
        <f t="shared" si="43"/>
        <v>7.9</v>
      </c>
      <c r="S244" s="285">
        <f t="shared" si="44"/>
        <v>7.3148148148148157E-2</v>
      </c>
      <c r="T244" s="270">
        <f t="shared" si="45"/>
        <v>14.709202453987727</v>
      </c>
      <c r="U244" s="270">
        <f t="shared" si="48"/>
        <v>0</v>
      </c>
      <c r="V244" s="284">
        <f t="shared" si="49"/>
        <v>0</v>
      </c>
      <c r="W244" s="337"/>
      <c r="X244" s="233">
        <f t="shared" si="50"/>
        <v>0</v>
      </c>
      <c r="Y244" s="250">
        <f t="shared" si="51"/>
        <v>0</v>
      </c>
    </row>
    <row r="245" spans="1:25" x14ac:dyDescent="0.25">
      <c r="A245" s="108">
        <f>Données!A245</f>
        <v>5830</v>
      </c>
      <c r="B245" s="116" t="str">
        <f>Données!B245</f>
        <v>Villarzel</v>
      </c>
      <c r="C245" s="249">
        <f>Données!C245</f>
        <v>522</v>
      </c>
      <c r="D245" s="262"/>
      <c r="E245" s="246">
        <f>Données!X245</f>
        <v>769</v>
      </c>
      <c r="F245" s="283">
        <f t="shared" si="39"/>
        <v>1.4731800766283525</v>
      </c>
      <c r="G245" s="262">
        <f t="shared" si="40"/>
        <v>391.56046332046327</v>
      </c>
      <c r="H245" s="270">
        <f t="shared" si="46"/>
        <v>377.43953667953673</v>
      </c>
      <c r="I245" s="284">
        <f t="shared" si="47"/>
        <v>-40357</v>
      </c>
      <c r="J245" s="262"/>
      <c r="K245" s="271">
        <f>Données!Y245</f>
        <v>28</v>
      </c>
      <c r="L245" s="418">
        <f>Données!Z245</f>
        <v>9.1999999999999998E-2</v>
      </c>
      <c r="M245" s="262">
        <f t="shared" si="41"/>
        <v>54.103461918892187</v>
      </c>
      <c r="N245" s="284">
        <f t="shared" si="42"/>
        <v>-1515</v>
      </c>
      <c r="O245" s="262"/>
      <c r="P245" s="246">
        <f>Données!AA245</f>
        <v>72</v>
      </c>
      <c r="Q245" s="281">
        <f>Données!AB245</f>
        <v>72</v>
      </c>
      <c r="R245" s="233">
        <f t="shared" si="43"/>
        <v>82.8</v>
      </c>
      <c r="S245" s="285">
        <f t="shared" si="44"/>
        <v>0.1586206896551724</v>
      </c>
      <c r="T245" s="270">
        <f t="shared" si="45"/>
        <v>71.094478527607336</v>
      </c>
      <c r="U245" s="270">
        <f t="shared" si="48"/>
        <v>11.705521472392661</v>
      </c>
      <c r="V245" s="284">
        <f t="shared" si="49"/>
        <v>-50064</v>
      </c>
      <c r="W245" s="337"/>
      <c r="X245" s="233">
        <f t="shared" si="50"/>
        <v>-46191.097922848661</v>
      </c>
      <c r="Y245" s="250">
        <f t="shared" si="51"/>
        <v>-3872.9020771513387</v>
      </c>
    </row>
    <row r="246" spans="1:25" x14ac:dyDescent="0.25">
      <c r="A246" s="108">
        <f>Données!A246</f>
        <v>5831</v>
      </c>
      <c r="B246" s="116" t="str">
        <f>Données!B246</f>
        <v>Valbroye</v>
      </c>
      <c r="C246" s="249">
        <f>Données!C246</f>
        <v>3416</v>
      </c>
      <c r="D246" s="262"/>
      <c r="E246" s="246">
        <f>Données!X246</f>
        <v>3335</v>
      </c>
      <c r="F246" s="283">
        <f t="shared" si="39"/>
        <v>0.97628805620608894</v>
      </c>
      <c r="G246" s="262">
        <f t="shared" si="40"/>
        <v>2562.3956756756756</v>
      </c>
      <c r="H246" s="270">
        <f t="shared" si="46"/>
        <v>772.60432432432435</v>
      </c>
      <c r="I246" s="284">
        <f t="shared" si="47"/>
        <v>-82610</v>
      </c>
      <c r="J246" s="262"/>
      <c r="K246" s="271">
        <f>Données!Y246</f>
        <v>115</v>
      </c>
      <c r="L246" s="418">
        <f>Données!Z246</f>
        <v>7.2999999999999995E-2</v>
      </c>
      <c r="M246" s="262">
        <f t="shared" si="41"/>
        <v>42.92992087042532</v>
      </c>
      <c r="N246" s="284">
        <f t="shared" si="42"/>
        <v>-4937</v>
      </c>
      <c r="O246" s="262"/>
      <c r="P246" s="246">
        <f>Données!AA246</f>
        <v>447</v>
      </c>
      <c r="Q246" s="281">
        <f>Données!AB246</f>
        <v>267</v>
      </c>
      <c r="R246" s="233">
        <f t="shared" si="43"/>
        <v>487.05</v>
      </c>
      <c r="S246" s="285">
        <f t="shared" si="44"/>
        <v>0.14257903981264639</v>
      </c>
      <c r="T246" s="270">
        <f t="shared" si="45"/>
        <v>465.24662576687103</v>
      </c>
      <c r="U246" s="270">
        <f t="shared" si="48"/>
        <v>21.803374233128977</v>
      </c>
      <c r="V246" s="284">
        <f t="shared" si="49"/>
        <v>-93252</v>
      </c>
      <c r="W246" s="337"/>
      <c r="X246" s="233">
        <f t="shared" si="50"/>
        <v>-93252</v>
      </c>
      <c r="Y246" s="250">
        <f t="shared" si="51"/>
        <v>0</v>
      </c>
    </row>
    <row r="247" spans="1:25" x14ac:dyDescent="0.25">
      <c r="A247" s="108">
        <f>Données!A247</f>
        <v>5841</v>
      </c>
      <c r="B247" s="116" t="str">
        <f>Données!B247</f>
        <v>Château-d'Oex</v>
      </c>
      <c r="C247" s="249">
        <f>Données!C247</f>
        <v>3689</v>
      </c>
      <c r="D247" s="262"/>
      <c r="E247" s="246">
        <f>Données!X247</f>
        <v>9537</v>
      </c>
      <c r="F247" s="283">
        <f t="shared" si="39"/>
        <v>2.585253456221198</v>
      </c>
      <c r="G247" s="262">
        <f t="shared" si="40"/>
        <v>2767.1772972972972</v>
      </c>
      <c r="H247" s="270">
        <f t="shared" si="46"/>
        <v>6769.8227027027024</v>
      </c>
      <c r="I247" s="284">
        <f t="shared" si="47"/>
        <v>-723855</v>
      </c>
      <c r="J247" s="262"/>
      <c r="K247" s="271">
        <f>Données!Y247</f>
        <v>3689</v>
      </c>
      <c r="L247" s="418">
        <f>Données!Z247</f>
        <v>0.70499999999999996</v>
      </c>
      <c r="M247" s="262">
        <f t="shared" si="41"/>
        <v>414.59718100890206</v>
      </c>
      <c r="N247" s="284">
        <f t="shared" si="42"/>
        <v>-1529449</v>
      </c>
      <c r="O247" s="262"/>
      <c r="P247" s="246">
        <f>Données!AA247</f>
        <v>410</v>
      </c>
      <c r="Q247" s="281">
        <f>Données!AB247</f>
        <v>224</v>
      </c>
      <c r="R247" s="233">
        <f t="shared" si="43"/>
        <v>443.6</v>
      </c>
      <c r="S247" s="285">
        <f t="shared" si="44"/>
        <v>0.1202493900786121</v>
      </c>
      <c r="T247" s="270">
        <f t="shared" si="45"/>
        <v>502.42822085889554</v>
      </c>
      <c r="U247" s="270">
        <f t="shared" si="48"/>
        <v>0</v>
      </c>
      <c r="V247" s="284">
        <f t="shared" si="49"/>
        <v>0</v>
      </c>
      <c r="W247" s="337"/>
      <c r="X247" s="233">
        <f t="shared" si="50"/>
        <v>0</v>
      </c>
      <c r="Y247" s="250">
        <f t="shared" si="51"/>
        <v>0</v>
      </c>
    </row>
    <row r="248" spans="1:25" x14ac:dyDescent="0.25">
      <c r="A248" s="108">
        <f>Données!A248</f>
        <v>5842</v>
      </c>
      <c r="B248" s="116" t="str">
        <f>Données!B248</f>
        <v>Rossinière</v>
      </c>
      <c r="C248" s="249">
        <f>Données!C248</f>
        <v>504</v>
      </c>
      <c r="D248" s="262"/>
      <c r="E248" s="246">
        <f>Données!X248</f>
        <v>2126</v>
      </c>
      <c r="F248" s="283">
        <f t="shared" si="39"/>
        <v>4.2182539682539684</v>
      </c>
      <c r="G248" s="262">
        <f t="shared" si="40"/>
        <v>378.05837837837834</v>
      </c>
      <c r="H248" s="270">
        <f t="shared" si="46"/>
        <v>1747.9416216216216</v>
      </c>
      <c r="I248" s="284">
        <f t="shared" si="47"/>
        <v>-186897</v>
      </c>
      <c r="J248" s="262"/>
      <c r="K248" s="271">
        <f>Données!Y248</f>
        <v>504</v>
      </c>
      <c r="L248" s="418">
        <f>Données!Z248</f>
        <v>0.80800000000000005</v>
      </c>
      <c r="M248" s="262">
        <f t="shared" si="41"/>
        <v>475.16953511374879</v>
      </c>
      <c r="N248" s="284">
        <f t="shared" si="42"/>
        <v>-239485</v>
      </c>
      <c r="O248" s="262"/>
      <c r="P248" s="246">
        <f>Données!AA248</f>
        <v>71</v>
      </c>
      <c r="Q248" s="281">
        <f>Données!AB248</f>
        <v>54</v>
      </c>
      <c r="R248" s="233">
        <f t="shared" si="43"/>
        <v>79.099999999999994</v>
      </c>
      <c r="S248" s="285">
        <f t="shared" si="44"/>
        <v>0.15694444444444444</v>
      </c>
      <c r="T248" s="270">
        <f t="shared" si="45"/>
        <v>68.642944785276057</v>
      </c>
      <c r="U248" s="270">
        <f t="shared" si="48"/>
        <v>10.457055214723937</v>
      </c>
      <c r="V248" s="284">
        <f t="shared" si="49"/>
        <v>-44724</v>
      </c>
      <c r="W248" s="337"/>
      <c r="X248" s="233">
        <f t="shared" si="50"/>
        <v>-34643.323442136498</v>
      </c>
      <c r="Y248" s="250">
        <f t="shared" si="51"/>
        <v>-10080.676557863502</v>
      </c>
    </row>
    <row r="249" spans="1:25" x14ac:dyDescent="0.25">
      <c r="A249" s="108">
        <f>Données!A249</f>
        <v>5843</v>
      </c>
      <c r="B249" s="116" t="str">
        <f>Données!B249</f>
        <v>Rougemont</v>
      </c>
      <c r="C249" s="249">
        <f>Données!C249</f>
        <v>805</v>
      </c>
      <c r="D249" s="262"/>
      <c r="E249" s="246">
        <f>Données!X249</f>
        <v>4104</v>
      </c>
      <c r="F249" s="283">
        <f t="shared" si="39"/>
        <v>5.0981366459627333</v>
      </c>
      <c r="G249" s="262">
        <f t="shared" si="40"/>
        <v>603.84324324324314</v>
      </c>
      <c r="H249" s="270">
        <f t="shared" si="46"/>
        <v>3500.1567567567567</v>
      </c>
      <c r="I249" s="284">
        <f t="shared" si="47"/>
        <v>-374250</v>
      </c>
      <c r="J249" s="262"/>
      <c r="K249" s="271">
        <f>Données!Y249</f>
        <v>805</v>
      </c>
      <c r="L249" s="418">
        <f>Données!Z249</f>
        <v>0.73799999999999999</v>
      </c>
      <c r="M249" s="262">
        <f t="shared" si="41"/>
        <v>434.00385756676553</v>
      </c>
      <c r="N249" s="284">
        <f t="shared" si="42"/>
        <v>-349373</v>
      </c>
      <c r="O249" s="262"/>
      <c r="P249" s="246">
        <f>Données!AA249</f>
        <v>69</v>
      </c>
      <c r="Q249" s="281">
        <f>Données!AB249</f>
        <v>69</v>
      </c>
      <c r="R249" s="233">
        <f t="shared" si="43"/>
        <v>79.349999999999994</v>
      </c>
      <c r="S249" s="285">
        <f t="shared" si="44"/>
        <v>9.857142857142856E-2</v>
      </c>
      <c r="T249" s="270">
        <f t="shared" si="45"/>
        <v>109.63803680981592</v>
      </c>
      <c r="U249" s="270">
        <f t="shared" si="48"/>
        <v>0</v>
      </c>
      <c r="V249" s="284">
        <f t="shared" si="49"/>
        <v>0</v>
      </c>
      <c r="W249" s="337"/>
      <c r="X249" s="233">
        <f t="shared" si="50"/>
        <v>0</v>
      </c>
      <c r="Y249" s="250">
        <f t="shared" si="51"/>
        <v>0</v>
      </c>
    </row>
    <row r="250" spans="1:25" x14ac:dyDescent="0.25">
      <c r="A250" s="108">
        <f>Données!A250</f>
        <v>5851</v>
      </c>
      <c r="B250" s="116" t="str">
        <f>Données!B250</f>
        <v>Allaman</v>
      </c>
      <c r="C250" s="249">
        <f>Données!C250</f>
        <v>412</v>
      </c>
      <c r="D250" s="262"/>
      <c r="E250" s="246">
        <f>Données!X250</f>
        <v>256</v>
      </c>
      <c r="F250" s="283">
        <f t="shared" si="39"/>
        <v>0.62135922330097082</v>
      </c>
      <c r="G250" s="262">
        <f t="shared" si="40"/>
        <v>309.04772200772197</v>
      </c>
      <c r="H250" s="270">
        <f t="shared" si="46"/>
        <v>0</v>
      </c>
      <c r="I250" s="284">
        <f t="shared" si="47"/>
        <v>0</v>
      </c>
      <c r="J250" s="262"/>
      <c r="K250" s="271">
        <f>Données!Y250</f>
        <v>0</v>
      </c>
      <c r="L250" s="418">
        <f>Données!Z250</f>
        <v>3.3000000000000002E-2</v>
      </c>
      <c r="M250" s="262">
        <f t="shared" si="41"/>
        <v>19.406676557863502</v>
      </c>
      <c r="N250" s="284">
        <f t="shared" si="42"/>
        <v>0</v>
      </c>
      <c r="O250" s="262"/>
      <c r="P250" s="246">
        <f>Données!AA250</f>
        <v>29</v>
      </c>
      <c r="Q250" s="281">
        <f>Données!AB250</f>
        <v>20</v>
      </c>
      <c r="R250" s="233">
        <f t="shared" si="43"/>
        <v>32</v>
      </c>
      <c r="S250" s="285">
        <f t="shared" si="44"/>
        <v>7.7669902912621352E-2</v>
      </c>
      <c r="T250" s="270">
        <f t="shared" si="45"/>
        <v>56.112883435582809</v>
      </c>
      <c r="U250" s="270">
        <f t="shared" si="48"/>
        <v>0</v>
      </c>
      <c r="V250" s="284">
        <f t="shared" si="49"/>
        <v>0</v>
      </c>
      <c r="W250" s="337"/>
      <c r="X250" s="233">
        <f t="shared" si="50"/>
        <v>0</v>
      </c>
      <c r="Y250" s="250">
        <f t="shared" si="51"/>
        <v>0</v>
      </c>
    </row>
    <row r="251" spans="1:25" x14ac:dyDescent="0.25">
      <c r="A251" s="108">
        <f>Données!A251</f>
        <v>5852</v>
      </c>
      <c r="B251" s="116" t="str">
        <f>Données!B251</f>
        <v>Bursinel</v>
      </c>
      <c r="C251" s="249">
        <f>Données!C251</f>
        <v>535</v>
      </c>
      <c r="D251" s="262"/>
      <c r="E251" s="246">
        <f>Données!X251</f>
        <v>180</v>
      </c>
      <c r="F251" s="283">
        <f t="shared" si="39"/>
        <v>0.3364485981308411</v>
      </c>
      <c r="G251" s="262">
        <f t="shared" si="40"/>
        <v>401.31196911196906</v>
      </c>
      <c r="H251" s="270">
        <f t="shared" si="46"/>
        <v>0</v>
      </c>
      <c r="I251" s="284">
        <f t="shared" si="47"/>
        <v>0</v>
      </c>
      <c r="J251" s="262"/>
      <c r="K251" s="271">
        <f>Données!Y251</f>
        <v>0</v>
      </c>
      <c r="L251" s="418">
        <f>Données!Z251</f>
        <v>1.2999999999999999E-2</v>
      </c>
      <c r="M251" s="262">
        <f t="shared" si="41"/>
        <v>7.6450544015825912</v>
      </c>
      <c r="N251" s="284">
        <f t="shared" si="42"/>
        <v>0</v>
      </c>
      <c r="O251" s="262"/>
      <c r="P251" s="246">
        <f>Données!AA251</f>
        <v>61</v>
      </c>
      <c r="Q251" s="281">
        <f>Données!AB251</f>
        <v>43</v>
      </c>
      <c r="R251" s="233">
        <f t="shared" si="43"/>
        <v>67.45</v>
      </c>
      <c r="S251" s="285">
        <f t="shared" si="44"/>
        <v>0.1260747663551402</v>
      </c>
      <c r="T251" s="270">
        <f t="shared" si="45"/>
        <v>72.865030674846608</v>
      </c>
      <c r="U251" s="270">
        <f t="shared" si="48"/>
        <v>0</v>
      </c>
      <c r="V251" s="284">
        <f t="shared" si="49"/>
        <v>0</v>
      </c>
      <c r="W251" s="337"/>
      <c r="X251" s="233">
        <f t="shared" si="50"/>
        <v>0</v>
      </c>
      <c r="Y251" s="250">
        <f t="shared" si="51"/>
        <v>0</v>
      </c>
    </row>
    <row r="252" spans="1:25" x14ac:dyDescent="0.25">
      <c r="A252" s="108">
        <f>Données!A252</f>
        <v>5853</v>
      </c>
      <c r="B252" s="116" t="str">
        <f>Données!B252</f>
        <v>Bursins</v>
      </c>
      <c r="C252" s="249">
        <f>Données!C252</f>
        <v>831</v>
      </c>
      <c r="D252" s="262"/>
      <c r="E252" s="246">
        <f>Données!X252</f>
        <v>340</v>
      </c>
      <c r="F252" s="283">
        <f t="shared" si="39"/>
        <v>0.40914560770156438</v>
      </c>
      <c r="G252" s="262">
        <f t="shared" si="40"/>
        <v>623.34625482625472</v>
      </c>
      <c r="H252" s="270">
        <f t="shared" si="46"/>
        <v>0</v>
      </c>
      <c r="I252" s="284">
        <f t="shared" si="47"/>
        <v>0</v>
      </c>
      <c r="J252" s="262"/>
      <c r="K252" s="271">
        <f>Données!Y252</f>
        <v>0</v>
      </c>
      <c r="L252" s="418">
        <f>Données!Z252</f>
        <v>0.224</v>
      </c>
      <c r="M252" s="262">
        <f t="shared" si="41"/>
        <v>131.7301681503462</v>
      </c>
      <c r="N252" s="284">
        <f t="shared" si="42"/>
        <v>0</v>
      </c>
      <c r="O252" s="262"/>
      <c r="P252" s="246">
        <f>Données!AA252</f>
        <v>104</v>
      </c>
      <c r="Q252" s="281">
        <f>Données!AB252</f>
        <v>66</v>
      </c>
      <c r="R252" s="233">
        <f t="shared" si="43"/>
        <v>113.9</v>
      </c>
      <c r="S252" s="285">
        <f t="shared" si="44"/>
        <v>0.13706377858002408</v>
      </c>
      <c r="T252" s="270">
        <f t="shared" si="45"/>
        <v>113.17914110429444</v>
      </c>
      <c r="U252" s="270">
        <f t="shared" si="48"/>
        <v>0.72085889570556105</v>
      </c>
      <c r="V252" s="284">
        <f t="shared" si="49"/>
        <v>-3083</v>
      </c>
      <c r="W252" s="337"/>
      <c r="X252" s="233">
        <f t="shared" si="50"/>
        <v>-3083</v>
      </c>
      <c r="Y252" s="250">
        <f t="shared" si="51"/>
        <v>0</v>
      </c>
    </row>
    <row r="253" spans="1:25" x14ac:dyDescent="0.25">
      <c r="A253" s="108">
        <f>Données!A253</f>
        <v>5854</v>
      </c>
      <c r="B253" s="116" t="str">
        <f>Données!B253</f>
        <v>Burtigny</v>
      </c>
      <c r="C253" s="249">
        <f>Données!C253</f>
        <v>406</v>
      </c>
      <c r="D253" s="262"/>
      <c r="E253" s="246">
        <f>Données!X253</f>
        <v>561</v>
      </c>
      <c r="F253" s="283">
        <f t="shared" si="39"/>
        <v>1.3817733990147782</v>
      </c>
      <c r="G253" s="262">
        <f t="shared" si="40"/>
        <v>304.54702702702701</v>
      </c>
      <c r="H253" s="270">
        <f t="shared" si="46"/>
        <v>256.45297297297299</v>
      </c>
      <c r="I253" s="284">
        <f t="shared" si="47"/>
        <v>-27421</v>
      </c>
      <c r="J253" s="262"/>
      <c r="K253" s="271">
        <f>Données!Y253</f>
        <v>292</v>
      </c>
      <c r="L253" s="418">
        <f>Données!Z253</f>
        <v>6.3E-2</v>
      </c>
      <c r="M253" s="262">
        <f t="shared" si="41"/>
        <v>37.049109792284867</v>
      </c>
      <c r="N253" s="284">
        <f t="shared" si="42"/>
        <v>-10818</v>
      </c>
      <c r="O253" s="262"/>
      <c r="P253" s="246">
        <f>Données!AA253</f>
        <v>48</v>
      </c>
      <c r="Q253" s="281">
        <f>Données!AB253</f>
        <v>48</v>
      </c>
      <c r="R253" s="233">
        <f t="shared" si="43"/>
        <v>55.2</v>
      </c>
      <c r="S253" s="285">
        <f t="shared" si="44"/>
        <v>0.13596059113300493</v>
      </c>
      <c r="T253" s="270">
        <f t="shared" si="45"/>
        <v>55.295705521472378</v>
      </c>
      <c r="U253" s="270">
        <f t="shared" si="48"/>
        <v>0</v>
      </c>
      <c r="V253" s="284">
        <f t="shared" si="49"/>
        <v>0</v>
      </c>
      <c r="W253" s="337"/>
      <c r="X253" s="233">
        <f t="shared" si="50"/>
        <v>0</v>
      </c>
      <c r="Y253" s="250">
        <f t="shared" si="51"/>
        <v>0</v>
      </c>
    </row>
    <row r="254" spans="1:25" x14ac:dyDescent="0.25">
      <c r="A254" s="108">
        <f>Données!A254</f>
        <v>5855</v>
      </c>
      <c r="B254" s="116" t="str">
        <f>Données!B254</f>
        <v>Dully</v>
      </c>
      <c r="C254" s="249">
        <f>Données!C254</f>
        <v>637</v>
      </c>
      <c r="D254" s="262"/>
      <c r="E254" s="246">
        <f>Données!X254</f>
        <v>163</v>
      </c>
      <c r="F254" s="283">
        <f t="shared" si="39"/>
        <v>0.25588697017268447</v>
      </c>
      <c r="G254" s="262">
        <f t="shared" si="40"/>
        <v>477.82378378378377</v>
      </c>
      <c r="H254" s="270">
        <f t="shared" si="46"/>
        <v>0</v>
      </c>
      <c r="I254" s="284">
        <f t="shared" si="47"/>
        <v>0</v>
      </c>
      <c r="J254" s="262"/>
      <c r="K254" s="271">
        <f>Données!Y254</f>
        <v>0</v>
      </c>
      <c r="L254" s="418">
        <f>Données!Z254</f>
        <v>6.3E-2</v>
      </c>
      <c r="M254" s="262">
        <f t="shared" si="41"/>
        <v>37.049109792284867</v>
      </c>
      <c r="N254" s="284">
        <f t="shared" si="42"/>
        <v>0</v>
      </c>
      <c r="O254" s="262"/>
      <c r="P254" s="246">
        <f>Données!AA254</f>
        <v>56</v>
      </c>
      <c r="Q254" s="281">
        <f>Données!AB254</f>
        <v>36</v>
      </c>
      <c r="R254" s="233">
        <f t="shared" si="43"/>
        <v>61.4</v>
      </c>
      <c r="S254" s="285">
        <f t="shared" si="44"/>
        <v>9.6389324960753531E-2</v>
      </c>
      <c r="T254" s="270">
        <f t="shared" si="45"/>
        <v>86.757055214723906</v>
      </c>
      <c r="U254" s="270">
        <f t="shared" si="48"/>
        <v>0</v>
      </c>
      <c r="V254" s="284">
        <f t="shared" si="49"/>
        <v>0</v>
      </c>
      <c r="W254" s="337"/>
      <c r="X254" s="233">
        <f t="shared" si="50"/>
        <v>0</v>
      </c>
      <c r="Y254" s="250">
        <f t="shared" si="51"/>
        <v>0</v>
      </c>
    </row>
    <row r="255" spans="1:25" x14ac:dyDescent="0.25">
      <c r="A255" s="108">
        <f>Données!A255</f>
        <v>5856</v>
      </c>
      <c r="B255" s="116" t="str">
        <f>Données!B255</f>
        <v>Essertines-sur-Rolle</v>
      </c>
      <c r="C255" s="249">
        <f>Données!C255</f>
        <v>770</v>
      </c>
      <c r="D255" s="262"/>
      <c r="E255" s="246">
        <f>Données!X255</f>
        <v>700</v>
      </c>
      <c r="F255" s="283">
        <f t="shared" si="39"/>
        <v>0.90909090909090906</v>
      </c>
      <c r="G255" s="262">
        <f t="shared" si="40"/>
        <v>577.58918918918914</v>
      </c>
      <c r="H255" s="270">
        <f t="shared" si="46"/>
        <v>122.41081081081086</v>
      </c>
      <c r="I255" s="284">
        <f t="shared" si="47"/>
        <v>-13089</v>
      </c>
      <c r="J255" s="262"/>
      <c r="K255" s="271">
        <f>Données!Y255</f>
        <v>139</v>
      </c>
      <c r="L255" s="418">
        <f>Données!Z255</f>
        <v>7.0999999999999994E-2</v>
      </c>
      <c r="M255" s="262">
        <f t="shared" si="41"/>
        <v>41.753758654797224</v>
      </c>
      <c r="N255" s="284">
        <f t="shared" si="42"/>
        <v>-5804</v>
      </c>
      <c r="O255" s="262"/>
      <c r="P255" s="246">
        <f>Données!AA255</f>
        <v>110</v>
      </c>
      <c r="Q255" s="281">
        <f>Données!AB255</f>
        <v>77</v>
      </c>
      <c r="R255" s="233">
        <f t="shared" si="43"/>
        <v>121.55</v>
      </c>
      <c r="S255" s="285">
        <f t="shared" si="44"/>
        <v>0.15785714285714286</v>
      </c>
      <c r="T255" s="270">
        <f t="shared" si="45"/>
        <v>104.87116564417175</v>
      </c>
      <c r="U255" s="270">
        <f t="shared" si="48"/>
        <v>16.678834355828243</v>
      </c>
      <c r="V255" s="284">
        <f t="shared" si="49"/>
        <v>-71335</v>
      </c>
      <c r="W255" s="337"/>
      <c r="X255" s="233">
        <f t="shared" si="50"/>
        <v>-49398.813056379811</v>
      </c>
      <c r="Y255" s="250">
        <f t="shared" si="51"/>
        <v>-21936.186943620189</v>
      </c>
    </row>
    <row r="256" spans="1:25" x14ac:dyDescent="0.25">
      <c r="A256" s="108">
        <f>Données!A256</f>
        <v>5857</v>
      </c>
      <c r="B256" s="116" t="str">
        <f>Données!B256</f>
        <v>Gilly</v>
      </c>
      <c r="C256" s="249">
        <f>Données!C256</f>
        <v>1429</v>
      </c>
      <c r="D256" s="262"/>
      <c r="E256" s="246">
        <f>Données!X256</f>
        <v>772</v>
      </c>
      <c r="F256" s="283">
        <f t="shared" si="39"/>
        <v>0.54023792862141362</v>
      </c>
      <c r="G256" s="262">
        <f t="shared" si="40"/>
        <v>1071.9155212355211</v>
      </c>
      <c r="H256" s="270">
        <f t="shared" si="46"/>
        <v>0</v>
      </c>
      <c r="I256" s="284">
        <f t="shared" si="47"/>
        <v>0</v>
      </c>
      <c r="J256" s="262"/>
      <c r="K256" s="271">
        <f>Données!Y256</f>
        <v>14</v>
      </c>
      <c r="L256" s="418">
        <f>Données!Z256</f>
        <v>0.22800000000000001</v>
      </c>
      <c r="M256" s="262">
        <f t="shared" si="41"/>
        <v>134.08249258160237</v>
      </c>
      <c r="N256" s="284">
        <f t="shared" si="42"/>
        <v>-1877</v>
      </c>
      <c r="O256" s="262"/>
      <c r="P256" s="246">
        <f>Données!AA256</f>
        <v>157</v>
      </c>
      <c r="Q256" s="281">
        <f>Données!AB256</f>
        <v>72</v>
      </c>
      <c r="R256" s="233">
        <f t="shared" si="43"/>
        <v>167.8</v>
      </c>
      <c r="S256" s="285">
        <f t="shared" si="44"/>
        <v>0.11742477256822954</v>
      </c>
      <c r="T256" s="270">
        <f t="shared" si="45"/>
        <v>194.62453987730055</v>
      </c>
      <c r="U256" s="270">
        <f t="shared" si="48"/>
        <v>0</v>
      </c>
      <c r="V256" s="284">
        <f t="shared" si="49"/>
        <v>0</v>
      </c>
      <c r="W256" s="337"/>
      <c r="X256" s="233">
        <f t="shared" si="50"/>
        <v>0</v>
      </c>
      <c r="Y256" s="250">
        <f t="shared" si="51"/>
        <v>0</v>
      </c>
    </row>
    <row r="257" spans="1:25" x14ac:dyDescent="0.25">
      <c r="A257" s="108">
        <f>Données!A257</f>
        <v>5858</v>
      </c>
      <c r="B257" s="116" t="str">
        <f>Données!B257</f>
        <v>Luins</v>
      </c>
      <c r="C257" s="249">
        <f>Données!C257</f>
        <v>640</v>
      </c>
      <c r="D257" s="262"/>
      <c r="E257" s="246">
        <f>Données!X257</f>
        <v>262</v>
      </c>
      <c r="F257" s="283">
        <f t="shared" si="39"/>
        <v>0.40937499999999999</v>
      </c>
      <c r="G257" s="262">
        <f t="shared" si="40"/>
        <v>480.07413127413122</v>
      </c>
      <c r="H257" s="270">
        <f t="shared" si="46"/>
        <v>0</v>
      </c>
      <c r="I257" s="284">
        <f t="shared" si="47"/>
        <v>0</v>
      </c>
      <c r="J257" s="262"/>
      <c r="K257" s="271">
        <f>Données!Y257</f>
        <v>0</v>
      </c>
      <c r="L257" s="418">
        <f>Données!Z257</f>
        <v>7.3999999999999996E-2</v>
      </c>
      <c r="M257" s="262">
        <f t="shared" si="41"/>
        <v>43.518001978239361</v>
      </c>
      <c r="N257" s="284">
        <f t="shared" si="42"/>
        <v>0</v>
      </c>
      <c r="O257" s="262"/>
      <c r="P257" s="246">
        <f>Données!AA257</f>
        <v>79</v>
      </c>
      <c r="Q257" s="281">
        <f>Données!AB257</f>
        <v>70</v>
      </c>
      <c r="R257" s="233">
        <f t="shared" si="43"/>
        <v>89.5</v>
      </c>
      <c r="S257" s="285">
        <f t="shared" si="44"/>
        <v>0.13984374999999999</v>
      </c>
      <c r="T257" s="270">
        <f t="shared" si="45"/>
        <v>87.165644171779121</v>
      </c>
      <c r="U257" s="270">
        <f t="shared" si="48"/>
        <v>2.3343558282208789</v>
      </c>
      <c r="V257" s="284">
        <f t="shared" si="49"/>
        <v>-9984</v>
      </c>
      <c r="W257" s="337"/>
      <c r="X257" s="233">
        <f t="shared" si="50"/>
        <v>-9984</v>
      </c>
      <c r="Y257" s="250">
        <f t="shared" si="51"/>
        <v>0</v>
      </c>
    </row>
    <row r="258" spans="1:25" x14ac:dyDescent="0.25">
      <c r="A258" s="108">
        <f>Données!A258</f>
        <v>5859</v>
      </c>
      <c r="B258" s="116" t="str">
        <f>Données!B258</f>
        <v>Mont-sur-Rolle</v>
      </c>
      <c r="C258" s="249">
        <f>Données!C258</f>
        <v>2759</v>
      </c>
      <c r="D258" s="262"/>
      <c r="E258" s="246">
        <f>Données!X258</f>
        <v>385</v>
      </c>
      <c r="F258" s="283">
        <f t="shared" si="39"/>
        <v>0.13954331279449075</v>
      </c>
      <c r="G258" s="262">
        <f t="shared" si="40"/>
        <v>2069.5695752895749</v>
      </c>
      <c r="H258" s="270">
        <f t="shared" si="46"/>
        <v>0</v>
      </c>
      <c r="I258" s="284">
        <f t="shared" si="47"/>
        <v>0</v>
      </c>
      <c r="J258" s="262"/>
      <c r="K258" s="271">
        <f>Données!Y258</f>
        <v>7</v>
      </c>
      <c r="L258" s="418">
        <f>Données!Z258</f>
        <v>0.161</v>
      </c>
      <c r="M258" s="262">
        <f t="shared" si="41"/>
        <v>94.681058358061321</v>
      </c>
      <c r="N258" s="284">
        <f t="shared" si="42"/>
        <v>-663</v>
      </c>
      <c r="O258" s="262"/>
      <c r="P258" s="246">
        <f>Données!AA258</f>
        <v>325</v>
      </c>
      <c r="Q258" s="281">
        <f>Données!AB258</f>
        <v>20</v>
      </c>
      <c r="R258" s="233">
        <f t="shared" si="43"/>
        <v>328</v>
      </c>
      <c r="S258" s="285">
        <f t="shared" si="44"/>
        <v>0.11888365349764407</v>
      </c>
      <c r="T258" s="270">
        <f t="shared" si="45"/>
        <v>375.76564417177906</v>
      </c>
      <c r="U258" s="270">
        <f t="shared" si="48"/>
        <v>0</v>
      </c>
      <c r="V258" s="284">
        <f t="shared" si="49"/>
        <v>0</v>
      </c>
      <c r="W258" s="337"/>
      <c r="X258" s="233">
        <f t="shared" si="50"/>
        <v>0</v>
      </c>
      <c r="Y258" s="250">
        <f t="shared" si="51"/>
        <v>0</v>
      </c>
    </row>
    <row r="259" spans="1:25" x14ac:dyDescent="0.25">
      <c r="A259" s="108">
        <f>Données!A259</f>
        <v>5860</v>
      </c>
      <c r="B259" s="116" t="str">
        <f>Données!B259</f>
        <v>Perroy</v>
      </c>
      <c r="C259" s="249">
        <f>Données!C259</f>
        <v>1573</v>
      </c>
      <c r="D259" s="262"/>
      <c r="E259" s="246">
        <f>Données!X259</f>
        <v>286</v>
      </c>
      <c r="F259" s="283">
        <f t="shared" si="39"/>
        <v>0.18181818181818182</v>
      </c>
      <c r="G259" s="262">
        <f t="shared" si="40"/>
        <v>1179.9322007722008</v>
      </c>
      <c r="H259" s="270">
        <f t="shared" si="46"/>
        <v>0</v>
      </c>
      <c r="I259" s="284">
        <f t="shared" si="47"/>
        <v>0</v>
      </c>
      <c r="J259" s="262"/>
      <c r="K259" s="271">
        <f>Données!Y259</f>
        <v>0</v>
      </c>
      <c r="L259" s="418">
        <f>Données!Z259</f>
        <v>6.9000000000000006E-2</v>
      </c>
      <c r="M259" s="262">
        <f t="shared" si="41"/>
        <v>40.577596439169142</v>
      </c>
      <c r="N259" s="284">
        <f t="shared" si="42"/>
        <v>0</v>
      </c>
      <c r="O259" s="262"/>
      <c r="P259" s="246">
        <f>Données!AA259</f>
        <v>164</v>
      </c>
      <c r="Q259" s="281">
        <f>Données!AB259</f>
        <v>78</v>
      </c>
      <c r="R259" s="233">
        <f t="shared" si="43"/>
        <v>175.7</v>
      </c>
      <c r="S259" s="285">
        <f t="shared" si="44"/>
        <v>0.11169739351557532</v>
      </c>
      <c r="T259" s="270">
        <f t="shared" si="45"/>
        <v>214.23680981595086</v>
      </c>
      <c r="U259" s="270">
        <f t="shared" si="48"/>
        <v>0</v>
      </c>
      <c r="V259" s="284">
        <f t="shared" si="49"/>
        <v>0</v>
      </c>
      <c r="W259" s="337"/>
      <c r="X259" s="233">
        <f t="shared" si="50"/>
        <v>0</v>
      </c>
      <c r="Y259" s="250">
        <f t="shared" si="51"/>
        <v>0</v>
      </c>
    </row>
    <row r="260" spans="1:25" x14ac:dyDescent="0.25">
      <c r="A260" s="108">
        <f>Données!A260</f>
        <v>5861</v>
      </c>
      <c r="B260" s="116" t="str">
        <f>Données!B260</f>
        <v>Rolle</v>
      </c>
      <c r="C260" s="249">
        <f>Données!C260</f>
        <v>6604</v>
      </c>
      <c r="D260" s="262"/>
      <c r="E260" s="246">
        <f>Données!X260</f>
        <v>268</v>
      </c>
      <c r="F260" s="283">
        <f t="shared" si="39"/>
        <v>4.0581465778316173E-2</v>
      </c>
      <c r="G260" s="262">
        <f t="shared" si="40"/>
        <v>4953.764942084942</v>
      </c>
      <c r="H260" s="270">
        <f t="shared" si="46"/>
        <v>0</v>
      </c>
      <c r="I260" s="284">
        <f t="shared" si="47"/>
        <v>0</v>
      </c>
      <c r="J260" s="262"/>
      <c r="K260" s="271">
        <f>Données!Y260</f>
        <v>0</v>
      </c>
      <c r="L260" s="418">
        <f>Données!Z260</f>
        <v>4.1000000000000002E-2</v>
      </c>
      <c r="M260" s="262">
        <f t="shared" si="41"/>
        <v>24.111325420375866</v>
      </c>
      <c r="N260" s="284">
        <f t="shared" si="42"/>
        <v>0</v>
      </c>
      <c r="O260" s="262"/>
      <c r="P260" s="246">
        <f>Données!AA260</f>
        <v>643</v>
      </c>
      <c r="Q260" s="281">
        <f>Données!AB260</f>
        <v>8</v>
      </c>
      <c r="R260" s="233">
        <f t="shared" si="43"/>
        <v>644.20000000000005</v>
      </c>
      <c r="S260" s="285">
        <f t="shared" si="44"/>
        <v>9.7546941247728655E-2</v>
      </c>
      <c r="T260" s="270">
        <f t="shared" si="45"/>
        <v>899.44049079754575</v>
      </c>
      <c r="U260" s="270">
        <f t="shared" si="48"/>
        <v>0</v>
      </c>
      <c r="V260" s="284">
        <f t="shared" si="49"/>
        <v>0</v>
      </c>
      <c r="W260" s="337"/>
      <c r="X260" s="233">
        <f t="shared" si="50"/>
        <v>0</v>
      </c>
      <c r="Y260" s="250">
        <f t="shared" si="51"/>
        <v>0</v>
      </c>
    </row>
    <row r="261" spans="1:25" x14ac:dyDescent="0.25">
      <c r="A261" s="108">
        <f>Données!A261</f>
        <v>5862</v>
      </c>
      <c r="B261" s="116" t="str">
        <f>Données!B261</f>
        <v>Tartegnin</v>
      </c>
      <c r="C261" s="249">
        <f>Données!C261</f>
        <v>246</v>
      </c>
      <c r="D261" s="262"/>
      <c r="E261" s="246">
        <f>Données!X261</f>
        <v>108</v>
      </c>
      <c r="F261" s="283">
        <f t="shared" ref="F261:F300" si="52">E261/C261</f>
        <v>0.43902439024390244</v>
      </c>
      <c r="G261" s="262">
        <f t="shared" ref="G261:G301" si="53">C261*$I$4</f>
        <v>184.52849420849418</v>
      </c>
      <c r="H261" s="270">
        <f t="shared" si="46"/>
        <v>0</v>
      </c>
      <c r="I261" s="284">
        <f t="shared" si="47"/>
        <v>0</v>
      </c>
      <c r="J261" s="262"/>
      <c r="K261" s="271">
        <f>Données!Y261</f>
        <v>0</v>
      </c>
      <c r="L261" s="418">
        <f>Données!Z261</f>
        <v>0.221</v>
      </c>
      <c r="M261" s="262">
        <f t="shared" ref="M261:M301" si="54">L261*$N$5</f>
        <v>129.96592482690406</v>
      </c>
      <c r="N261" s="284">
        <f t="shared" ref="N261:N301" si="55">ROUND(-M261*K261,0)</f>
        <v>0</v>
      </c>
      <c r="O261" s="262"/>
      <c r="P261" s="246">
        <f>Données!AA261</f>
        <v>23</v>
      </c>
      <c r="Q261" s="281">
        <f>Données!AB261</f>
        <v>5</v>
      </c>
      <c r="R261" s="233">
        <f t="shared" ref="R261:R301" si="56">P261*$P$6+Q261*$Q$6</f>
        <v>23.75</v>
      </c>
      <c r="S261" s="285">
        <f t="shared" ref="S261:S301" si="57">R261/C261</f>
        <v>9.6544715447154469E-2</v>
      </c>
      <c r="T261" s="270">
        <f t="shared" ref="T261:T301" si="58">$V$4*C261</f>
        <v>33.504294478527598</v>
      </c>
      <c r="U261" s="270">
        <f t="shared" si="48"/>
        <v>0</v>
      </c>
      <c r="V261" s="284">
        <f t="shared" si="49"/>
        <v>0</v>
      </c>
      <c r="W261" s="337"/>
      <c r="X261" s="233">
        <f t="shared" si="50"/>
        <v>0</v>
      </c>
      <c r="Y261" s="250">
        <f t="shared" si="51"/>
        <v>0</v>
      </c>
    </row>
    <row r="262" spans="1:25" x14ac:dyDescent="0.25">
      <c r="A262" s="108">
        <f>Données!A262</f>
        <v>5863</v>
      </c>
      <c r="B262" s="116" t="str">
        <f>Données!B262</f>
        <v>Vinzel</v>
      </c>
      <c r="C262" s="249">
        <f>Données!C262</f>
        <v>385</v>
      </c>
      <c r="D262" s="262"/>
      <c r="E262" s="246">
        <f>Données!X262</f>
        <v>109</v>
      </c>
      <c r="F262" s="283">
        <f t="shared" si="52"/>
        <v>0.2831168831168831</v>
      </c>
      <c r="G262" s="262">
        <f t="shared" si="53"/>
        <v>288.79459459459457</v>
      </c>
      <c r="H262" s="270">
        <f t="shared" ref="H262:H301" si="59">IF(E262&gt;G262,E262-G262,0)</f>
        <v>0</v>
      </c>
      <c r="I262" s="284">
        <f t="shared" ref="I262:I301" si="60">ROUND(-H262*$I$5,0)</f>
        <v>0</v>
      </c>
      <c r="J262" s="262"/>
      <c r="K262" s="271">
        <f>Données!Y262</f>
        <v>0</v>
      </c>
      <c r="L262" s="418">
        <f>Données!Z262</f>
        <v>0.152</v>
      </c>
      <c r="M262" s="262">
        <f t="shared" si="54"/>
        <v>89.388328387734916</v>
      </c>
      <c r="N262" s="284">
        <f t="shared" si="55"/>
        <v>0</v>
      </c>
      <c r="O262" s="262"/>
      <c r="P262" s="246">
        <f>Données!AA262</f>
        <v>35</v>
      </c>
      <c r="Q262" s="281">
        <f>Données!AB262</f>
        <v>25</v>
      </c>
      <c r="R262" s="233">
        <f t="shared" si="56"/>
        <v>38.75</v>
      </c>
      <c r="S262" s="285">
        <f t="shared" si="57"/>
        <v>0.10064935064935066</v>
      </c>
      <c r="T262" s="270">
        <f t="shared" si="58"/>
        <v>52.435582822085877</v>
      </c>
      <c r="U262" s="270">
        <f t="shared" ref="U262:U301" si="61">IF(R262&gt;T262,R262-T262,0)</f>
        <v>0</v>
      </c>
      <c r="V262" s="284">
        <f t="shared" ref="V262:V301" si="62">ROUND(-$V$5*U262,0)</f>
        <v>0</v>
      </c>
      <c r="W262" s="337"/>
      <c r="X262" s="233">
        <f t="shared" ref="X262:X301" si="63">IF(-Q262*$Q$6*$V$5&gt;V262,-Q262*$Q$6*$V$5,V262)</f>
        <v>0</v>
      </c>
      <c r="Y262" s="250">
        <f t="shared" ref="Y262:Y301" si="64">IF(X262&gt;V262,V262-X262,0)</f>
        <v>0</v>
      </c>
    </row>
    <row r="263" spans="1:25" x14ac:dyDescent="0.25">
      <c r="A263" s="108">
        <f>Données!A263</f>
        <v>5940</v>
      </c>
      <c r="B263" s="116" t="str">
        <f>Données!B263</f>
        <v>La Vallée de Joux</v>
      </c>
      <c r="C263" s="249">
        <f>Données!C263</f>
        <v>7317</v>
      </c>
      <c r="D263" s="262"/>
      <c r="E263" s="246">
        <f>Données!X263</f>
        <v>16105</v>
      </c>
      <c r="F263" s="283">
        <f t="shared" si="52"/>
        <v>2.2010386770534374</v>
      </c>
      <c r="G263" s="262">
        <f t="shared" si="53"/>
        <v>5488.5975289575281</v>
      </c>
      <c r="H263" s="270">
        <f t="shared" si="59"/>
        <v>10616.402471042471</v>
      </c>
      <c r="I263" s="284">
        <f t="shared" si="60"/>
        <v>-1135146</v>
      </c>
      <c r="J263" s="262"/>
      <c r="K263" s="271">
        <f>Données!Y263</f>
        <v>7317</v>
      </c>
      <c r="L263" s="418">
        <f>Données!Z263</f>
        <v>0.14099999999999999</v>
      </c>
      <c r="M263" s="262">
        <f t="shared" si="54"/>
        <v>82.9194362017804</v>
      </c>
      <c r="N263" s="284">
        <f t="shared" si="55"/>
        <v>-606722</v>
      </c>
      <c r="O263" s="262"/>
      <c r="P263" s="246">
        <f>Données!AA263</f>
        <v>783</v>
      </c>
      <c r="Q263" s="281">
        <f>Données!AB263</f>
        <v>287</v>
      </c>
      <c r="R263" s="233">
        <f t="shared" si="56"/>
        <v>826.05</v>
      </c>
      <c r="S263" s="285">
        <f t="shared" si="57"/>
        <v>0.11289462894628946</v>
      </c>
      <c r="T263" s="270">
        <f t="shared" si="58"/>
        <v>996.54846625766845</v>
      </c>
      <c r="U263" s="270">
        <f t="shared" si="61"/>
        <v>0</v>
      </c>
      <c r="V263" s="284">
        <f t="shared" si="62"/>
        <v>0</v>
      </c>
      <c r="W263" s="337"/>
      <c r="X263" s="233">
        <f t="shared" si="63"/>
        <v>0</v>
      </c>
      <c r="Y263" s="250">
        <f t="shared" si="64"/>
        <v>0</v>
      </c>
    </row>
    <row r="264" spans="1:25" x14ac:dyDescent="0.25">
      <c r="A264" s="108">
        <f>Données!A264</f>
        <v>5882</v>
      </c>
      <c r="B264" s="116" t="str">
        <f>Données!B264</f>
        <v>Chardonne</v>
      </c>
      <c r="C264" s="249">
        <f>Données!C264</f>
        <v>3384</v>
      </c>
      <c r="D264" s="262"/>
      <c r="E264" s="246">
        <f>Données!X264</f>
        <v>1024</v>
      </c>
      <c r="F264" s="283">
        <f t="shared" si="52"/>
        <v>0.30260047281323876</v>
      </c>
      <c r="G264" s="262">
        <f t="shared" si="53"/>
        <v>2538.391969111969</v>
      </c>
      <c r="H264" s="270">
        <f t="shared" si="59"/>
        <v>0</v>
      </c>
      <c r="I264" s="284">
        <f t="shared" si="60"/>
        <v>0</v>
      </c>
      <c r="J264" s="262"/>
      <c r="K264" s="271">
        <f>Données!Y264</f>
        <v>1107</v>
      </c>
      <c r="L264" s="418">
        <f>Données!Z264</f>
        <v>0.32900000000000001</v>
      </c>
      <c r="M264" s="262">
        <f t="shared" si="54"/>
        <v>193.47868447082098</v>
      </c>
      <c r="N264" s="284">
        <f t="shared" si="55"/>
        <v>-214181</v>
      </c>
      <c r="O264" s="262"/>
      <c r="P264" s="246">
        <f>Données!AA264</f>
        <v>270</v>
      </c>
      <c r="Q264" s="281">
        <f>Données!AB264</f>
        <v>85</v>
      </c>
      <c r="R264" s="233">
        <f t="shared" si="56"/>
        <v>282.75</v>
      </c>
      <c r="S264" s="285">
        <f t="shared" si="57"/>
        <v>8.3554964539007098E-2</v>
      </c>
      <c r="T264" s="270">
        <f t="shared" si="58"/>
        <v>460.88834355828209</v>
      </c>
      <c r="U264" s="270">
        <f t="shared" si="61"/>
        <v>0</v>
      </c>
      <c r="V264" s="284">
        <f t="shared" si="62"/>
        <v>0</v>
      </c>
      <c r="W264" s="337"/>
      <c r="X264" s="233">
        <f t="shared" si="63"/>
        <v>0</v>
      </c>
      <c r="Y264" s="250">
        <f t="shared" si="64"/>
        <v>0</v>
      </c>
    </row>
    <row r="265" spans="1:25" x14ac:dyDescent="0.25">
      <c r="A265" s="108">
        <f>Données!A265</f>
        <v>5883</v>
      </c>
      <c r="B265" s="116" t="str">
        <f>Données!B265</f>
        <v>Corseaux</v>
      </c>
      <c r="C265" s="249">
        <f>Données!C265</f>
        <v>2326</v>
      </c>
      <c r="D265" s="262"/>
      <c r="E265" s="246">
        <f>Données!X265</f>
        <v>106</v>
      </c>
      <c r="F265" s="283">
        <f t="shared" si="52"/>
        <v>4.5571797076526227E-2</v>
      </c>
      <c r="G265" s="262">
        <f t="shared" si="53"/>
        <v>1744.7694208494206</v>
      </c>
      <c r="H265" s="270">
        <f t="shared" si="59"/>
        <v>0</v>
      </c>
      <c r="I265" s="284">
        <f t="shared" si="60"/>
        <v>0</v>
      </c>
      <c r="J265" s="262"/>
      <c r="K265" s="271">
        <f>Données!Y265</f>
        <v>0</v>
      </c>
      <c r="L265" s="418">
        <f>Données!Z265</f>
        <v>0.22500000000000001</v>
      </c>
      <c r="M265" s="262">
        <f t="shared" si="54"/>
        <v>132.31824925816025</v>
      </c>
      <c r="N265" s="284">
        <f t="shared" si="55"/>
        <v>0</v>
      </c>
      <c r="O265" s="262"/>
      <c r="P265" s="246">
        <f>Données!AA265</f>
        <v>198</v>
      </c>
      <c r="Q265" s="281">
        <f>Données!AB265</f>
        <v>3</v>
      </c>
      <c r="R265" s="233">
        <f t="shared" si="56"/>
        <v>198.45</v>
      </c>
      <c r="S265" s="285">
        <f t="shared" si="57"/>
        <v>8.5318142734307822E-2</v>
      </c>
      <c r="T265" s="270">
        <f t="shared" si="58"/>
        <v>316.79263803680971</v>
      </c>
      <c r="U265" s="270">
        <f t="shared" si="61"/>
        <v>0</v>
      </c>
      <c r="V265" s="284">
        <f t="shared" si="62"/>
        <v>0</v>
      </c>
      <c r="W265" s="337"/>
      <c r="X265" s="233">
        <f t="shared" si="63"/>
        <v>0</v>
      </c>
      <c r="Y265" s="250">
        <f t="shared" si="64"/>
        <v>0</v>
      </c>
    </row>
    <row r="266" spans="1:25" x14ac:dyDescent="0.25">
      <c r="A266" s="108">
        <f>Données!A266</f>
        <v>5884</v>
      </c>
      <c r="B266" s="116" t="str">
        <f>Données!B266</f>
        <v>Corsier-sur-Vevey</v>
      </c>
      <c r="C266" s="249">
        <f>Données!C266</f>
        <v>3458</v>
      </c>
      <c r="D266" s="262"/>
      <c r="E266" s="246">
        <f>Données!X266</f>
        <v>669</v>
      </c>
      <c r="F266" s="283">
        <f t="shared" si="52"/>
        <v>0.19346443030653557</v>
      </c>
      <c r="G266" s="262">
        <f t="shared" si="53"/>
        <v>2593.9005405405405</v>
      </c>
      <c r="H266" s="270">
        <f t="shared" si="59"/>
        <v>0</v>
      </c>
      <c r="I266" s="284">
        <f t="shared" si="60"/>
        <v>0</v>
      </c>
      <c r="J266" s="262"/>
      <c r="K266" s="271">
        <f>Données!Y266</f>
        <v>739</v>
      </c>
      <c r="L266" s="418">
        <f>Données!Z266</f>
        <v>0.38100000000000001</v>
      </c>
      <c r="M266" s="262">
        <f t="shared" si="54"/>
        <v>224.05890207715134</v>
      </c>
      <c r="N266" s="284">
        <f t="shared" si="55"/>
        <v>-165580</v>
      </c>
      <c r="O266" s="262"/>
      <c r="P266" s="246">
        <f>Données!AA266</f>
        <v>367</v>
      </c>
      <c r="Q266" s="281">
        <f>Données!AB266</f>
        <v>111</v>
      </c>
      <c r="R266" s="233">
        <f t="shared" si="56"/>
        <v>383.65</v>
      </c>
      <c r="S266" s="285">
        <f t="shared" si="57"/>
        <v>0.11094563331405435</v>
      </c>
      <c r="T266" s="270">
        <f t="shared" si="58"/>
        <v>470.96687116564402</v>
      </c>
      <c r="U266" s="270">
        <f t="shared" si="61"/>
        <v>0</v>
      </c>
      <c r="V266" s="284">
        <f t="shared" si="62"/>
        <v>0</v>
      </c>
      <c r="W266" s="337"/>
      <c r="X266" s="233">
        <f t="shared" si="63"/>
        <v>0</v>
      </c>
      <c r="Y266" s="250">
        <f t="shared" si="64"/>
        <v>0</v>
      </c>
    </row>
    <row r="267" spans="1:25" x14ac:dyDescent="0.25">
      <c r="A267" s="108">
        <f>Données!A267</f>
        <v>5885</v>
      </c>
      <c r="B267" s="116" t="str">
        <f>Données!B267</f>
        <v>Jongny</v>
      </c>
      <c r="C267" s="249">
        <f>Données!C267</f>
        <v>1917</v>
      </c>
      <c r="D267" s="262"/>
      <c r="E267" s="246">
        <f>Données!X267</f>
        <v>214</v>
      </c>
      <c r="F267" s="283">
        <f t="shared" si="52"/>
        <v>0.11163275952008346</v>
      </c>
      <c r="G267" s="262">
        <f t="shared" si="53"/>
        <v>1437.9720463320461</v>
      </c>
      <c r="H267" s="270">
        <f t="shared" si="59"/>
        <v>0</v>
      </c>
      <c r="I267" s="284">
        <f t="shared" si="60"/>
        <v>0</v>
      </c>
      <c r="J267" s="262"/>
      <c r="K267" s="271">
        <f>Données!Y267</f>
        <v>225</v>
      </c>
      <c r="L267" s="418">
        <f>Données!Z267</f>
        <v>0.17399999999999999</v>
      </c>
      <c r="M267" s="262">
        <f t="shared" si="54"/>
        <v>102.32611275964391</v>
      </c>
      <c r="N267" s="284">
        <f t="shared" si="55"/>
        <v>-23023</v>
      </c>
      <c r="O267" s="262"/>
      <c r="P267" s="246">
        <f>Données!AA267</f>
        <v>236</v>
      </c>
      <c r="Q267" s="281">
        <f>Données!AB267</f>
        <v>33</v>
      </c>
      <c r="R267" s="233">
        <f t="shared" si="56"/>
        <v>240.95</v>
      </c>
      <c r="S267" s="285">
        <f t="shared" si="57"/>
        <v>0.12569118414188837</v>
      </c>
      <c r="T267" s="270">
        <f t="shared" si="58"/>
        <v>261.08834355828213</v>
      </c>
      <c r="U267" s="270">
        <f t="shared" si="61"/>
        <v>0</v>
      </c>
      <c r="V267" s="284">
        <f t="shared" si="62"/>
        <v>0</v>
      </c>
      <c r="W267" s="337"/>
      <c r="X267" s="233">
        <f t="shared" si="63"/>
        <v>0</v>
      </c>
      <c r="Y267" s="250">
        <f t="shared" si="64"/>
        <v>0</v>
      </c>
    </row>
    <row r="268" spans="1:25" x14ac:dyDescent="0.25">
      <c r="A268" s="108">
        <f>Données!A268</f>
        <v>5886</v>
      </c>
      <c r="B268" s="116" t="str">
        <f>Données!B268</f>
        <v>Montreux</v>
      </c>
      <c r="C268" s="249">
        <f>Données!C268</f>
        <v>27166</v>
      </c>
      <c r="D268" s="262"/>
      <c r="E268" s="246">
        <f>Données!X268</f>
        <v>3196</v>
      </c>
      <c r="F268" s="283">
        <f t="shared" si="52"/>
        <v>0.11764705882352941</v>
      </c>
      <c r="G268" s="262">
        <f t="shared" si="53"/>
        <v>20377.64664092664</v>
      </c>
      <c r="H268" s="270">
        <f t="shared" si="59"/>
        <v>0</v>
      </c>
      <c r="I268" s="284">
        <f t="shared" si="60"/>
        <v>0</v>
      </c>
      <c r="J268" s="262"/>
      <c r="K268" s="271">
        <f>Données!Y268</f>
        <v>1517</v>
      </c>
      <c r="L268" s="418">
        <f>Données!Z268</f>
        <v>0.70299999999999996</v>
      </c>
      <c r="M268" s="262">
        <f t="shared" si="54"/>
        <v>413.42101879327396</v>
      </c>
      <c r="N268" s="284">
        <f t="shared" si="55"/>
        <v>-627160</v>
      </c>
      <c r="O268" s="262"/>
      <c r="P268" s="246">
        <f>Données!AA268</f>
        <v>2407</v>
      </c>
      <c r="Q268" s="281">
        <f>Données!AB268</f>
        <v>172</v>
      </c>
      <c r="R268" s="233">
        <f t="shared" si="56"/>
        <v>2432.8000000000002</v>
      </c>
      <c r="S268" s="285">
        <f t="shared" si="57"/>
        <v>8.9553117867923152E-2</v>
      </c>
      <c r="T268" s="270">
        <f t="shared" si="58"/>
        <v>3699.9092024539868</v>
      </c>
      <c r="U268" s="270">
        <f t="shared" si="61"/>
        <v>0</v>
      </c>
      <c r="V268" s="284">
        <f t="shared" si="62"/>
        <v>0</v>
      </c>
      <c r="W268" s="337"/>
      <c r="X268" s="233">
        <f t="shared" si="63"/>
        <v>0</v>
      </c>
      <c r="Y268" s="250">
        <f t="shared" si="64"/>
        <v>0</v>
      </c>
    </row>
    <row r="269" spans="1:25" x14ac:dyDescent="0.25">
      <c r="A269" s="108">
        <f>Données!A269</f>
        <v>5889</v>
      </c>
      <c r="B269" s="116" t="str">
        <f>Données!B269</f>
        <v>La Tour-de-Peilz</v>
      </c>
      <c r="C269" s="249">
        <f>Données!C269</f>
        <v>13053</v>
      </c>
      <c r="D269" s="262"/>
      <c r="E269" s="246">
        <f>Données!X269</f>
        <v>326</v>
      </c>
      <c r="F269" s="283">
        <f t="shared" si="52"/>
        <v>2.4975101509231594E-2</v>
      </c>
      <c r="G269" s="262">
        <f t="shared" si="53"/>
        <v>9791.2619305019289</v>
      </c>
      <c r="H269" s="270">
        <f t="shared" si="59"/>
        <v>0</v>
      </c>
      <c r="I269" s="284">
        <f t="shared" si="60"/>
        <v>0</v>
      </c>
      <c r="J269" s="262"/>
      <c r="K269" s="271">
        <f>Données!Y269</f>
        <v>0</v>
      </c>
      <c r="L269" s="418">
        <f>Données!Z269</f>
        <v>0.12</v>
      </c>
      <c r="M269" s="262">
        <f t="shared" si="54"/>
        <v>70.569732937685458</v>
      </c>
      <c r="N269" s="284">
        <f t="shared" si="55"/>
        <v>0</v>
      </c>
      <c r="O269" s="262"/>
      <c r="P269" s="246">
        <f>Données!AA269</f>
        <v>1337</v>
      </c>
      <c r="Q269" s="281">
        <f>Données!AB269</f>
        <v>12</v>
      </c>
      <c r="R269" s="233">
        <f t="shared" si="56"/>
        <v>1338.8</v>
      </c>
      <c r="S269" s="285">
        <f t="shared" si="57"/>
        <v>0.10256645981766643</v>
      </c>
      <c r="T269" s="270">
        <f t="shared" si="58"/>
        <v>1777.7705521472387</v>
      </c>
      <c r="U269" s="270">
        <f t="shared" si="61"/>
        <v>0</v>
      </c>
      <c r="V269" s="284">
        <f t="shared" si="62"/>
        <v>0</v>
      </c>
      <c r="W269" s="337"/>
      <c r="X269" s="233">
        <f t="shared" si="63"/>
        <v>0</v>
      </c>
      <c r="Y269" s="250">
        <f t="shared" si="64"/>
        <v>0</v>
      </c>
    </row>
    <row r="270" spans="1:25" x14ac:dyDescent="0.25">
      <c r="A270" s="108">
        <f>Données!A270</f>
        <v>5890</v>
      </c>
      <c r="B270" s="116" t="str">
        <f>Données!B270</f>
        <v>Vevey</v>
      </c>
      <c r="C270" s="249">
        <f>Données!C270</f>
        <v>20179</v>
      </c>
      <c r="D270" s="262"/>
      <c r="E270" s="246">
        <f>Données!X270</f>
        <v>230</v>
      </c>
      <c r="F270" s="283">
        <f t="shared" si="52"/>
        <v>1.1397988007334358E-2</v>
      </c>
      <c r="G270" s="262">
        <f t="shared" si="53"/>
        <v>15136.587335907334</v>
      </c>
      <c r="H270" s="270">
        <f t="shared" si="59"/>
        <v>0</v>
      </c>
      <c r="I270" s="284">
        <f t="shared" si="60"/>
        <v>0</v>
      </c>
      <c r="J270" s="262"/>
      <c r="K270" s="271">
        <f>Données!Y270</f>
        <v>0</v>
      </c>
      <c r="L270" s="418">
        <f>Données!Z270</f>
        <v>0.124</v>
      </c>
      <c r="M270" s="262">
        <f t="shared" si="54"/>
        <v>72.922057368941637</v>
      </c>
      <c r="N270" s="284">
        <f t="shared" si="55"/>
        <v>0</v>
      </c>
      <c r="O270" s="262"/>
      <c r="P270" s="246">
        <f>Données!AA270</f>
        <v>2017</v>
      </c>
      <c r="Q270" s="281">
        <f>Données!AB270</f>
        <v>33</v>
      </c>
      <c r="R270" s="233">
        <f t="shared" si="56"/>
        <v>2021.95</v>
      </c>
      <c r="S270" s="285">
        <f t="shared" si="57"/>
        <v>0.10020070370186829</v>
      </c>
      <c r="T270" s="270">
        <f t="shared" si="58"/>
        <v>2748.3055214723918</v>
      </c>
      <c r="U270" s="270">
        <f t="shared" si="61"/>
        <v>0</v>
      </c>
      <c r="V270" s="284">
        <f t="shared" si="62"/>
        <v>0</v>
      </c>
      <c r="W270" s="337"/>
      <c r="X270" s="233">
        <f t="shared" si="63"/>
        <v>0</v>
      </c>
      <c r="Y270" s="250">
        <f t="shared" si="64"/>
        <v>0</v>
      </c>
    </row>
    <row r="271" spans="1:25" x14ac:dyDescent="0.25">
      <c r="A271" s="108">
        <f>Données!A271</f>
        <v>5891</v>
      </c>
      <c r="B271" s="116" t="str">
        <f>Données!B271</f>
        <v>Veytaux</v>
      </c>
      <c r="C271" s="249">
        <f>Données!C271</f>
        <v>1008</v>
      </c>
      <c r="D271" s="262"/>
      <c r="E271" s="246">
        <f>Données!X271</f>
        <v>642</v>
      </c>
      <c r="F271" s="283">
        <f t="shared" si="52"/>
        <v>0.63690476190476186</v>
      </c>
      <c r="G271" s="262">
        <f t="shared" si="53"/>
        <v>756.11675675675667</v>
      </c>
      <c r="H271" s="270">
        <f t="shared" si="59"/>
        <v>0</v>
      </c>
      <c r="I271" s="284">
        <f t="shared" si="60"/>
        <v>0</v>
      </c>
      <c r="J271" s="262"/>
      <c r="K271" s="271">
        <f>Données!Y271</f>
        <v>16</v>
      </c>
      <c r="L271" s="418">
        <f>Données!Z271</f>
        <v>0.88100000000000001</v>
      </c>
      <c r="M271" s="262">
        <f t="shared" si="54"/>
        <v>518.09945598417403</v>
      </c>
      <c r="N271" s="284">
        <f t="shared" si="55"/>
        <v>-8290</v>
      </c>
      <c r="O271" s="262"/>
      <c r="P271" s="246">
        <f>Données!AA271</f>
        <v>77</v>
      </c>
      <c r="Q271" s="281">
        <f>Données!AB271</f>
        <v>14</v>
      </c>
      <c r="R271" s="233">
        <f t="shared" si="56"/>
        <v>79.099999999999994</v>
      </c>
      <c r="S271" s="285">
        <f t="shared" si="57"/>
        <v>7.8472222222222221E-2</v>
      </c>
      <c r="T271" s="270">
        <f t="shared" si="58"/>
        <v>137.28588957055211</v>
      </c>
      <c r="U271" s="270">
        <f t="shared" si="61"/>
        <v>0</v>
      </c>
      <c r="V271" s="284">
        <f t="shared" si="62"/>
        <v>0</v>
      </c>
      <c r="W271" s="337"/>
      <c r="X271" s="233">
        <f t="shared" si="63"/>
        <v>0</v>
      </c>
      <c r="Y271" s="250">
        <f t="shared" si="64"/>
        <v>0</v>
      </c>
    </row>
    <row r="272" spans="1:25" x14ac:dyDescent="0.25">
      <c r="A272" s="108">
        <f>Données!A272</f>
        <v>5892</v>
      </c>
      <c r="B272" s="116" t="str">
        <f>Données!B272</f>
        <v>Blonay-Saint-Légier</v>
      </c>
      <c r="C272" s="249">
        <f>Données!C272</f>
        <v>12597</v>
      </c>
      <c r="D272" s="262"/>
      <c r="E272" s="246">
        <f>Données!X272</f>
        <v>3067</v>
      </c>
      <c r="F272" s="283">
        <f t="shared" si="52"/>
        <v>0.24347066761927444</v>
      </c>
      <c r="G272" s="262">
        <f t="shared" si="53"/>
        <v>9449.2091119691104</v>
      </c>
      <c r="H272" s="270">
        <f t="shared" si="59"/>
        <v>0</v>
      </c>
      <c r="I272" s="284">
        <f t="shared" si="60"/>
        <v>0</v>
      </c>
      <c r="J272" s="262"/>
      <c r="K272" s="271">
        <f>Données!Y272</f>
        <v>833</v>
      </c>
      <c r="L272" s="418">
        <f>Données!Z272</f>
        <v>0.434</v>
      </c>
      <c r="M272" s="262">
        <f t="shared" si="54"/>
        <v>255.22720079129573</v>
      </c>
      <c r="N272" s="284">
        <f t="shared" si="55"/>
        <v>-212604</v>
      </c>
      <c r="O272" s="262"/>
      <c r="P272" s="246">
        <f>Données!AA272</f>
        <v>1338</v>
      </c>
      <c r="Q272" s="281">
        <f>Données!AB272</f>
        <v>107</v>
      </c>
      <c r="R272" s="233">
        <f t="shared" si="56"/>
        <v>1354.05</v>
      </c>
      <c r="S272" s="285">
        <f t="shared" si="57"/>
        <v>0.10748987854251012</v>
      </c>
      <c r="T272" s="270">
        <f t="shared" si="58"/>
        <v>1715.6650306748461</v>
      </c>
      <c r="U272" s="270">
        <f t="shared" si="61"/>
        <v>0</v>
      </c>
      <c r="V272" s="284">
        <f t="shared" si="62"/>
        <v>0</v>
      </c>
      <c r="W272" s="337"/>
      <c r="X272" s="233">
        <f t="shared" si="63"/>
        <v>0</v>
      </c>
      <c r="Y272" s="250">
        <f t="shared" si="64"/>
        <v>0</v>
      </c>
    </row>
    <row r="273" spans="1:25" x14ac:dyDescent="0.25">
      <c r="A273" s="108">
        <f>Données!A273</f>
        <v>5902</v>
      </c>
      <c r="B273" s="116" t="str">
        <f>Données!B273</f>
        <v>Belmont-sur-Yverdon</v>
      </c>
      <c r="C273" s="249">
        <f>Données!C273</f>
        <v>457</v>
      </c>
      <c r="D273" s="262"/>
      <c r="E273" s="246">
        <f>Données!X273</f>
        <v>646</v>
      </c>
      <c r="F273" s="283">
        <f t="shared" si="52"/>
        <v>1.4135667396061269</v>
      </c>
      <c r="G273" s="262">
        <f t="shared" si="53"/>
        <v>342.80293436293431</v>
      </c>
      <c r="H273" s="270">
        <f t="shared" si="59"/>
        <v>303.19706563706569</v>
      </c>
      <c r="I273" s="284">
        <f t="shared" si="60"/>
        <v>-32419</v>
      </c>
      <c r="J273" s="262"/>
      <c r="K273" s="271">
        <f>Données!Y273</f>
        <v>0</v>
      </c>
      <c r="L273" s="418">
        <f>Données!Z273</f>
        <v>7.5999999999999998E-2</v>
      </c>
      <c r="M273" s="262">
        <f t="shared" si="54"/>
        <v>44.694164193867458</v>
      </c>
      <c r="N273" s="284">
        <f t="shared" si="55"/>
        <v>0</v>
      </c>
      <c r="O273" s="262"/>
      <c r="P273" s="246">
        <f>Données!AA273</f>
        <v>60</v>
      </c>
      <c r="Q273" s="281">
        <f>Données!AB273</f>
        <v>58</v>
      </c>
      <c r="R273" s="233">
        <f t="shared" si="56"/>
        <v>68.7</v>
      </c>
      <c r="S273" s="285">
        <f t="shared" si="57"/>
        <v>0.15032822757111597</v>
      </c>
      <c r="T273" s="270">
        <f t="shared" si="58"/>
        <v>62.241717791411027</v>
      </c>
      <c r="U273" s="270">
        <f t="shared" si="61"/>
        <v>6.4582822085889759</v>
      </c>
      <c r="V273" s="284">
        <f t="shared" si="62"/>
        <v>-27622</v>
      </c>
      <c r="W273" s="337"/>
      <c r="X273" s="233">
        <f t="shared" si="63"/>
        <v>-27622</v>
      </c>
      <c r="Y273" s="250">
        <f t="shared" si="64"/>
        <v>0</v>
      </c>
    </row>
    <row r="274" spans="1:25" x14ac:dyDescent="0.25">
      <c r="A274" s="108">
        <f>Données!A274</f>
        <v>5903</v>
      </c>
      <c r="B274" s="116" t="str">
        <f>Données!B274</f>
        <v>Bioley-Magnoux</v>
      </c>
      <c r="C274" s="249">
        <f>Données!C274</f>
        <v>252</v>
      </c>
      <c r="D274" s="262"/>
      <c r="E274" s="246">
        <f>Données!X274</f>
        <v>426</v>
      </c>
      <c r="F274" s="283">
        <f t="shared" si="52"/>
        <v>1.6904761904761905</v>
      </c>
      <c r="G274" s="262">
        <f t="shared" si="53"/>
        <v>189.02918918918917</v>
      </c>
      <c r="H274" s="270">
        <f t="shared" si="59"/>
        <v>236.97081081081083</v>
      </c>
      <c r="I274" s="284">
        <f t="shared" si="60"/>
        <v>-25338</v>
      </c>
      <c r="J274" s="262"/>
      <c r="K274" s="271">
        <f>Données!Y274</f>
        <v>0</v>
      </c>
      <c r="L274" s="418">
        <f>Données!Z274</f>
        <v>0.14199999999999999</v>
      </c>
      <c r="M274" s="262">
        <f t="shared" si="54"/>
        <v>83.507517309594448</v>
      </c>
      <c r="N274" s="284">
        <f t="shared" si="55"/>
        <v>0</v>
      </c>
      <c r="O274" s="262"/>
      <c r="P274" s="246">
        <f>Données!AA274</f>
        <v>41</v>
      </c>
      <c r="Q274" s="281">
        <f>Données!AB274</f>
        <v>41</v>
      </c>
      <c r="R274" s="233">
        <f t="shared" si="56"/>
        <v>47.15</v>
      </c>
      <c r="S274" s="285">
        <f t="shared" si="57"/>
        <v>0.1871031746031746</v>
      </c>
      <c r="T274" s="270">
        <f t="shared" si="58"/>
        <v>34.321472392638029</v>
      </c>
      <c r="U274" s="270">
        <f t="shared" si="61"/>
        <v>12.82852760736197</v>
      </c>
      <c r="V274" s="284">
        <f t="shared" si="62"/>
        <v>-54867</v>
      </c>
      <c r="W274" s="337"/>
      <c r="X274" s="233">
        <f t="shared" si="63"/>
        <v>-26303.264094955484</v>
      </c>
      <c r="Y274" s="250">
        <f t="shared" si="64"/>
        <v>-28563.735905044516</v>
      </c>
    </row>
    <row r="275" spans="1:25" x14ac:dyDescent="0.25">
      <c r="A275" s="108">
        <f>Données!A275</f>
        <v>5904</v>
      </c>
      <c r="B275" s="116" t="str">
        <f>Données!B275</f>
        <v>Chamblon</v>
      </c>
      <c r="C275" s="249">
        <f>Données!C275</f>
        <v>558</v>
      </c>
      <c r="D275" s="262"/>
      <c r="E275" s="246">
        <f>Données!X275</f>
        <v>283</v>
      </c>
      <c r="F275" s="283">
        <f t="shared" si="52"/>
        <v>0.50716845878136196</v>
      </c>
      <c r="G275" s="262">
        <f t="shared" si="53"/>
        <v>418.5646332046332</v>
      </c>
      <c r="H275" s="270">
        <f t="shared" si="59"/>
        <v>0</v>
      </c>
      <c r="I275" s="284">
        <f t="shared" si="60"/>
        <v>0</v>
      </c>
      <c r="J275" s="262"/>
      <c r="K275" s="271">
        <f>Données!Y275</f>
        <v>0</v>
      </c>
      <c r="L275" s="418">
        <f>Données!Z275</f>
        <v>0.10199999999999999</v>
      </c>
      <c r="M275" s="262">
        <f t="shared" si="54"/>
        <v>59.984272997032633</v>
      </c>
      <c r="N275" s="284">
        <f t="shared" si="55"/>
        <v>0</v>
      </c>
      <c r="O275" s="262"/>
      <c r="P275" s="246">
        <f>Données!AA275</f>
        <v>64</v>
      </c>
      <c r="Q275" s="281">
        <f>Données!AB275</f>
        <v>25</v>
      </c>
      <c r="R275" s="233">
        <f t="shared" si="56"/>
        <v>67.75</v>
      </c>
      <c r="S275" s="285">
        <f t="shared" si="57"/>
        <v>0.12141577060931899</v>
      </c>
      <c r="T275" s="270">
        <f t="shared" si="58"/>
        <v>75.997546012269922</v>
      </c>
      <c r="U275" s="270">
        <f t="shared" si="61"/>
        <v>0</v>
      </c>
      <c r="V275" s="284">
        <f t="shared" si="62"/>
        <v>0</v>
      </c>
      <c r="W275" s="337"/>
      <c r="X275" s="233">
        <f t="shared" si="63"/>
        <v>0</v>
      </c>
      <c r="Y275" s="250">
        <f t="shared" si="64"/>
        <v>0</v>
      </c>
    </row>
    <row r="276" spans="1:25" x14ac:dyDescent="0.25">
      <c r="A276" s="108">
        <f>Données!A276</f>
        <v>5905</v>
      </c>
      <c r="B276" s="116" t="str">
        <f>Données!B276</f>
        <v>Champvent</v>
      </c>
      <c r="C276" s="249">
        <f>Données!C276</f>
        <v>692</v>
      </c>
      <c r="D276" s="262"/>
      <c r="E276" s="246">
        <f>Données!X276</f>
        <v>897</v>
      </c>
      <c r="F276" s="283">
        <f t="shared" si="52"/>
        <v>1.296242774566474</v>
      </c>
      <c r="G276" s="262">
        <f t="shared" si="53"/>
        <v>519.08015444015439</v>
      </c>
      <c r="H276" s="270">
        <f t="shared" si="59"/>
        <v>377.91984555984561</v>
      </c>
      <c r="I276" s="284">
        <f t="shared" si="60"/>
        <v>-40409</v>
      </c>
      <c r="J276" s="262"/>
      <c r="K276" s="271">
        <f>Données!Y276</f>
        <v>0</v>
      </c>
      <c r="L276" s="418">
        <f>Données!Z276</f>
        <v>4.5999999999999999E-2</v>
      </c>
      <c r="M276" s="262">
        <f t="shared" si="54"/>
        <v>27.051730959446093</v>
      </c>
      <c r="N276" s="284">
        <f t="shared" si="55"/>
        <v>0</v>
      </c>
      <c r="O276" s="262"/>
      <c r="P276" s="246">
        <f>Données!AA276</f>
        <v>89</v>
      </c>
      <c r="Q276" s="281">
        <f>Données!AB276</f>
        <v>76</v>
      </c>
      <c r="R276" s="233">
        <f t="shared" si="56"/>
        <v>100.4</v>
      </c>
      <c r="S276" s="285">
        <f t="shared" si="57"/>
        <v>0.14508670520231215</v>
      </c>
      <c r="T276" s="270">
        <f t="shared" si="58"/>
        <v>94.247852760736166</v>
      </c>
      <c r="U276" s="270">
        <f t="shared" si="61"/>
        <v>6.1521472392638401</v>
      </c>
      <c r="V276" s="284">
        <f t="shared" si="62"/>
        <v>-26312</v>
      </c>
      <c r="W276" s="337"/>
      <c r="X276" s="233">
        <f t="shared" si="63"/>
        <v>-26312</v>
      </c>
      <c r="Y276" s="250">
        <f t="shared" si="64"/>
        <v>0</v>
      </c>
    </row>
    <row r="277" spans="1:25" x14ac:dyDescent="0.25">
      <c r="A277" s="108">
        <f>Données!A277</f>
        <v>5907</v>
      </c>
      <c r="B277" s="116" t="str">
        <f>Données!B277</f>
        <v>Chavannes-le-Chêne</v>
      </c>
      <c r="C277" s="249">
        <f>Données!C277</f>
        <v>329</v>
      </c>
      <c r="D277" s="262"/>
      <c r="E277" s="246">
        <f>Données!X277</f>
        <v>397</v>
      </c>
      <c r="F277" s="283">
        <f t="shared" si="52"/>
        <v>1.2066869300911853</v>
      </c>
      <c r="G277" s="262">
        <f t="shared" si="53"/>
        <v>246.78810810810808</v>
      </c>
      <c r="H277" s="270">
        <f t="shared" si="59"/>
        <v>150.21189189189192</v>
      </c>
      <c r="I277" s="284">
        <f t="shared" si="60"/>
        <v>-16061</v>
      </c>
      <c r="J277" s="262"/>
      <c r="K277" s="271">
        <f>Données!Y277</f>
        <v>0</v>
      </c>
      <c r="L277" s="418">
        <f>Données!Z277</f>
        <v>3.9E-2</v>
      </c>
      <c r="M277" s="262">
        <f t="shared" si="54"/>
        <v>22.935163204747774</v>
      </c>
      <c r="N277" s="284">
        <f t="shared" si="55"/>
        <v>0</v>
      </c>
      <c r="O277" s="262"/>
      <c r="P277" s="246">
        <f>Données!AA277</f>
        <v>38</v>
      </c>
      <c r="Q277" s="281">
        <f>Données!AB277</f>
        <v>38</v>
      </c>
      <c r="R277" s="233">
        <f t="shared" si="56"/>
        <v>43.7</v>
      </c>
      <c r="S277" s="285">
        <f t="shared" si="57"/>
        <v>0.13282674772036476</v>
      </c>
      <c r="T277" s="270">
        <f t="shared" si="58"/>
        <v>44.8085889570552</v>
      </c>
      <c r="U277" s="270">
        <f t="shared" si="61"/>
        <v>0</v>
      </c>
      <c r="V277" s="284">
        <f t="shared" si="62"/>
        <v>0</v>
      </c>
      <c r="W277" s="337"/>
      <c r="X277" s="233">
        <f t="shared" si="63"/>
        <v>0</v>
      </c>
      <c r="Y277" s="250">
        <f t="shared" si="64"/>
        <v>0</v>
      </c>
    </row>
    <row r="278" spans="1:25" x14ac:dyDescent="0.25">
      <c r="A278" s="108">
        <f>Données!A278</f>
        <v>5908</v>
      </c>
      <c r="B278" s="116" t="str">
        <f>Données!B278</f>
        <v>Chêne-Pâquier</v>
      </c>
      <c r="C278" s="249">
        <f>Données!C278</f>
        <v>172</v>
      </c>
      <c r="D278" s="262"/>
      <c r="E278" s="246">
        <f>Données!X278</f>
        <v>206</v>
      </c>
      <c r="F278" s="283">
        <f t="shared" si="52"/>
        <v>1.1976744186046511</v>
      </c>
      <c r="G278" s="262">
        <f t="shared" si="53"/>
        <v>129.01992277992278</v>
      </c>
      <c r="H278" s="270">
        <f t="shared" si="59"/>
        <v>76.98007722007722</v>
      </c>
      <c r="I278" s="284">
        <f t="shared" si="60"/>
        <v>-8231</v>
      </c>
      <c r="J278" s="262"/>
      <c r="K278" s="271">
        <f>Données!Y278</f>
        <v>0</v>
      </c>
      <c r="L278" s="418">
        <f>Données!Z278</f>
        <v>9.5000000000000001E-2</v>
      </c>
      <c r="M278" s="262">
        <f t="shared" si="54"/>
        <v>55.867705242334324</v>
      </c>
      <c r="N278" s="284">
        <f t="shared" si="55"/>
        <v>0</v>
      </c>
      <c r="O278" s="262"/>
      <c r="P278" s="246">
        <f>Données!AA278</f>
        <v>30</v>
      </c>
      <c r="Q278" s="281">
        <f>Données!AB278</f>
        <v>30</v>
      </c>
      <c r="R278" s="233">
        <f t="shared" si="56"/>
        <v>34.5</v>
      </c>
      <c r="S278" s="285">
        <f t="shared" si="57"/>
        <v>0.2005813953488372</v>
      </c>
      <c r="T278" s="270">
        <f t="shared" si="58"/>
        <v>23.425766871165639</v>
      </c>
      <c r="U278" s="270">
        <f t="shared" si="61"/>
        <v>11.074233128834361</v>
      </c>
      <c r="V278" s="284">
        <f t="shared" si="62"/>
        <v>-47364</v>
      </c>
      <c r="W278" s="337"/>
      <c r="X278" s="233">
        <f t="shared" si="63"/>
        <v>-19246.290801186944</v>
      </c>
      <c r="Y278" s="250">
        <f t="shared" si="64"/>
        <v>-28117.709198813056</v>
      </c>
    </row>
    <row r="279" spans="1:25" x14ac:dyDescent="0.25">
      <c r="A279" s="108">
        <f>Données!A279</f>
        <v>5909</v>
      </c>
      <c r="B279" s="116" t="str">
        <f>Données!B279</f>
        <v>Cheseaux-Noréaz</v>
      </c>
      <c r="C279" s="249">
        <f>Données!C279</f>
        <v>745</v>
      </c>
      <c r="D279" s="262"/>
      <c r="E279" s="246">
        <f>Données!X279</f>
        <v>541</v>
      </c>
      <c r="F279" s="283">
        <f t="shared" si="52"/>
        <v>0.72617449664429534</v>
      </c>
      <c r="G279" s="262">
        <f t="shared" si="53"/>
        <v>558.83629343629343</v>
      </c>
      <c r="H279" s="270">
        <f t="shared" si="59"/>
        <v>0</v>
      </c>
      <c r="I279" s="284">
        <f t="shared" si="60"/>
        <v>0</v>
      </c>
      <c r="J279" s="262"/>
      <c r="K279" s="271">
        <f>Données!Y279</f>
        <v>0</v>
      </c>
      <c r="L279" s="418">
        <f>Données!Z279</f>
        <v>7.8E-2</v>
      </c>
      <c r="M279" s="262">
        <f t="shared" si="54"/>
        <v>45.870326409495547</v>
      </c>
      <c r="N279" s="284">
        <f t="shared" si="55"/>
        <v>0</v>
      </c>
      <c r="O279" s="262"/>
      <c r="P279" s="246">
        <f>Données!AA279</f>
        <v>88</v>
      </c>
      <c r="Q279" s="281">
        <f>Données!AB279</f>
        <v>39</v>
      </c>
      <c r="R279" s="233">
        <f t="shared" si="56"/>
        <v>93.85</v>
      </c>
      <c r="S279" s="285">
        <f t="shared" si="57"/>
        <v>0.1259731543624161</v>
      </c>
      <c r="T279" s="270">
        <f t="shared" si="58"/>
        <v>101.46625766871163</v>
      </c>
      <c r="U279" s="270">
        <f t="shared" si="61"/>
        <v>0</v>
      </c>
      <c r="V279" s="284">
        <f t="shared" si="62"/>
        <v>0</v>
      </c>
      <c r="W279" s="337"/>
      <c r="X279" s="233">
        <f t="shared" si="63"/>
        <v>0</v>
      </c>
      <c r="Y279" s="250">
        <f t="shared" si="64"/>
        <v>0</v>
      </c>
    </row>
    <row r="280" spans="1:25" x14ac:dyDescent="0.25">
      <c r="A280" s="108">
        <f>Données!A280</f>
        <v>5910</v>
      </c>
      <c r="B280" s="116" t="str">
        <f>Données!B280</f>
        <v>Cronay</v>
      </c>
      <c r="C280" s="249">
        <f>Données!C280</f>
        <v>432</v>
      </c>
      <c r="D280" s="262"/>
      <c r="E280" s="246">
        <f>Données!X280</f>
        <v>655</v>
      </c>
      <c r="F280" s="283">
        <f t="shared" si="52"/>
        <v>1.5162037037037037</v>
      </c>
      <c r="G280" s="262">
        <f t="shared" si="53"/>
        <v>324.0500386100386</v>
      </c>
      <c r="H280" s="270">
        <f t="shared" si="59"/>
        <v>330.9499613899614</v>
      </c>
      <c r="I280" s="284">
        <f t="shared" si="60"/>
        <v>-35386</v>
      </c>
      <c r="J280" s="262"/>
      <c r="K280" s="271">
        <f>Données!Y280</f>
        <v>0</v>
      </c>
      <c r="L280" s="418">
        <f>Données!Z280</f>
        <v>0.16300000000000001</v>
      </c>
      <c r="M280" s="262">
        <f t="shared" si="54"/>
        <v>95.857220573689418</v>
      </c>
      <c r="N280" s="284">
        <f t="shared" si="55"/>
        <v>0</v>
      </c>
      <c r="O280" s="262"/>
      <c r="P280" s="246">
        <f>Données!AA280</f>
        <v>65</v>
      </c>
      <c r="Q280" s="281">
        <f>Données!AB280</f>
        <v>38</v>
      </c>
      <c r="R280" s="233">
        <f t="shared" si="56"/>
        <v>70.7</v>
      </c>
      <c r="S280" s="285">
        <f t="shared" si="57"/>
        <v>0.16365740740740742</v>
      </c>
      <c r="T280" s="270">
        <f t="shared" si="58"/>
        <v>58.836809815950907</v>
      </c>
      <c r="U280" s="270">
        <f t="shared" si="61"/>
        <v>11.863190184049095</v>
      </c>
      <c r="V280" s="284">
        <f t="shared" si="62"/>
        <v>-50738</v>
      </c>
      <c r="W280" s="337"/>
      <c r="X280" s="233">
        <f t="shared" si="63"/>
        <v>-24378.635014836796</v>
      </c>
      <c r="Y280" s="250">
        <f t="shared" si="64"/>
        <v>-26359.364985163204</v>
      </c>
    </row>
    <row r="281" spans="1:25" x14ac:dyDescent="0.25">
      <c r="A281" s="108">
        <f>Données!A281</f>
        <v>5911</v>
      </c>
      <c r="B281" s="116" t="str">
        <f>Données!B281</f>
        <v>Cuarny</v>
      </c>
      <c r="C281" s="249">
        <f>Données!C281</f>
        <v>244</v>
      </c>
      <c r="D281" s="262"/>
      <c r="E281" s="246">
        <f>Données!X281</f>
        <v>460</v>
      </c>
      <c r="F281" s="283">
        <f t="shared" si="52"/>
        <v>1.8852459016393444</v>
      </c>
      <c r="G281" s="262">
        <f t="shared" si="53"/>
        <v>183.02826254826255</v>
      </c>
      <c r="H281" s="270">
        <f t="shared" si="59"/>
        <v>276.97173745173745</v>
      </c>
      <c r="I281" s="284">
        <f t="shared" si="60"/>
        <v>-29615</v>
      </c>
      <c r="J281" s="262"/>
      <c r="K281" s="271">
        <f>Données!Y281</f>
        <v>0</v>
      </c>
      <c r="L281" s="418">
        <f>Données!Z281</f>
        <v>0.13100000000000001</v>
      </c>
      <c r="M281" s="262">
        <f t="shared" si="54"/>
        <v>77.03862512363996</v>
      </c>
      <c r="N281" s="284">
        <f t="shared" si="55"/>
        <v>0</v>
      </c>
      <c r="O281" s="262"/>
      <c r="P281" s="246">
        <f>Données!AA281</f>
        <v>32</v>
      </c>
      <c r="Q281" s="281">
        <f>Données!AB281</f>
        <v>27</v>
      </c>
      <c r="R281" s="233">
        <f t="shared" si="56"/>
        <v>36.049999999999997</v>
      </c>
      <c r="S281" s="285">
        <f t="shared" si="57"/>
        <v>0.14774590163934426</v>
      </c>
      <c r="T281" s="270">
        <f t="shared" si="58"/>
        <v>33.231901840490785</v>
      </c>
      <c r="U281" s="270">
        <f t="shared" si="61"/>
        <v>2.8180981595092121</v>
      </c>
      <c r="V281" s="284">
        <f t="shared" si="62"/>
        <v>-12053</v>
      </c>
      <c r="W281" s="337"/>
      <c r="X281" s="233">
        <f t="shared" si="63"/>
        <v>-12053</v>
      </c>
      <c r="Y281" s="250">
        <f t="shared" si="64"/>
        <v>0</v>
      </c>
    </row>
    <row r="282" spans="1:25" x14ac:dyDescent="0.25">
      <c r="A282" s="108">
        <f>Données!A282</f>
        <v>5912</v>
      </c>
      <c r="B282" s="116" t="str">
        <f>Données!B282</f>
        <v>Démoret</v>
      </c>
      <c r="C282" s="249">
        <f>Données!C282</f>
        <v>181</v>
      </c>
      <c r="D282" s="262"/>
      <c r="E282" s="246">
        <f>Données!X282</f>
        <v>429</v>
      </c>
      <c r="F282" s="283">
        <f t="shared" si="52"/>
        <v>2.3701657458563536</v>
      </c>
      <c r="G282" s="262">
        <f t="shared" si="53"/>
        <v>135.77096525096525</v>
      </c>
      <c r="H282" s="270">
        <f t="shared" si="59"/>
        <v>293.22903474903478</v>
      </c>
      <c r="I282" s="284">
        <f t="shared" si="60"/>
        <v>-31353</v>
      </c>
      <c r="J282" s="262"/>
      <c r="K282" s="271">
        <f>Données!Y282</f>
        <v>133</v>
      </c>
      <c r="L282" s="418">
        <f>Données!Z282</f>
        <v>1.7999999999999999E-2</v>
      </c>
      <c r="M282" s="262">
        <f t="shared" si="54"/>
        <v>10.585459940652818</v>
      </c>
      <c r="N282" s="284">
        <f t="shared" si="55"/>
        <v>-1408</v>
      </c>
      <c r="O282" s="262"/>
      <c r="P282" s="246">
        <f>Données!AA282</f>
        <v>35</v>
      </c>
      <c r="Q282" s="281">
        <f>Données!AB282</f>
        <v>35</v>
      </c>
      <c r="R282" s="233">
        <f t="shared" si="56"/>
        <v>40.25</v>
      </c>
      <c r="S282" s="285">
        <f t="shared" si="57"/>
        <v>0.22237569060773479</v>
      </c>
      <c r="T282" s="270">
        <f t="shared" si="58"/>
        <v>24.651533742331281</v>
      </c>
      <c r="U282" s="270">
        <f t="shared" si="61"/>
        <v>15.598466257668719</v>
      </c>
      <c r="V282" s="284">
        <f t="shared" si="62"/>
        <v>-66714</v>
      </c>
      <c r="W282" s="337"/>
      <c r="X282" s="233">
        <f t="shared" si="63"/>
        <v>-22454.005934718101</v>
      </c>
      <c r="Y282" s="250">
        <f t="shared" si="64"/>
        <v>-44259.994065281899</v>
      </c>
    </row>
    <row r="283" spans="1:25" x14ac:dyDescent="0.25">
      <c r="A283" s="108">
        <f>Données!A283</f>
        <v>5913</v>
      </c>
      <c r="B283" s="116" t="str">
        <f>Données!B283</f>
        <v>Donneloye</v>
      </c>
      <c r="C283" s="249">
        <f>Données!C283</f>
        <v>905</v>
      </c>
      <c r="D283" s="262"/>
      <c r="E283" s="246">
        <f>Données!X283</f>
        <v>893</v>
      </c>
      <c r="F283" s="283">
        <f t="shared" si="52"/>
        <v>0.9867403314917127</v>
      </c>
      <c r="G283" s="262">
        <f t="shared" si="53"/>
        <v>678.85482625482621</v>
      </c>
      <c r="H283" s="270">
        <f t="shared" si="59"/>
        <v>214.14517374517379</v>
      </c>
      <c r="I283" s="284">
        <f t="shared" si="60"/>
        <v>-22897</v>
      </c>
      <c r="J283" s="262"/>
      <c r="K283" s="271">
        <f>Données!Y283</f>
        <v>0</v>
      </c>
      <c r="L283" s="418">
        <f>Données!Z283</f>
        <v>0.11899999999999999</v>
      </c>
      <c r="M283" s="262">
        <f t="shared" si="54"/>
        <v>69.98165182987141</v>
      </c>
      <c r="N283" s="284">
        <f t="shared" si="55"/>
        <v>0</v>
      </c>
      <c r="O283" s="262"/>
      <c r="P283" s="246">
        <f>Données!AA283</f>
        <v>126</v>
      </c>
      <c r="Q283" s="281">
        <f>Données!AB283</f>
        <v>126</v>
      </c>
      <c r="R283" s="233">
        <f t="shared" si="56"/>
        <v>144.9</v>
      </c>
      <c r="S283" s="285">
        <f t="shared" si="57"/>
        <v>0.16011049723756907</v>
      </c>
      <c r="T283" s="270">
        <f t="shared" si="58"/>
        <v>123.25766871165641</v>
      </c>
      <c r="U283" s="270">
        <f t="shared" si="61"/>
        <v>21.642331288343598</v>
      </c>
      <c r="V283" s="284">
        <f t="shared" si="62"/>
        <v>-92563</v>
      </c>
      <c r="W283" s="337"/>
      <c r="X283" s="233">
        <f t="shared" si="63"/>
        <v>-80834.421364985159</v>
      </c>
      <c r="Y283" s="250">
        <f t="shared" si="64"/>
        <v>-11728.578635014841</v>
      </c>
    </row>
    <row r="284" spans="1:25" x14ac:dyDescent="0.25">
      <c r="A284" s="108">
        <f>Données!A284</f>
        <v>5914</v>
      </c>
      <c r="B284" s="116" t="str">
        <f>Données!B284</f>
        <v>Ependes</v>
      </c>
      <c r="C284" s="249">
        <f>Données!C284</f>
        <v>376</v>
      </c>
      <c r="D284" s="262"/>
      <c r="E284" s="246">
        <f>Données!X284</f>
        <v>469</v>
      </c>
      <c r="F284" s="283">
        <f t="shared" si="52"/>
        <v>1.2473404255319149</v>
      </c>
      <c r="G284" s="262">
        <f t="shared" si="53"/>
        <v>282.0435521235521</v>
      </c>
      <c r="H284" s="270">
        <f t="shared" si="59"/>
        <v>186.9564478764479</v>
      </c>
      <c r="I284" s="284">
        <f t="shared" si="60"/>
        <v>-19990</v>
      </c>
      <c r="J284" s="262"/>
      <c r="K284" s="271">
        <f>Données!Y284</f>
        <v>0</v>
      </c>
      <c r="L284" s="418">
        <f>Données!Z284</f>
        <v>0.08</v>
      </c>
      <c r="M284" s="262">
        <f t="shared" si="54"/>
        <v>47.046488625123636</v>
      </c>
      <c r="N284" s="284">
        <f t="shared" si="55"/>
        <v>0</v>
      </c>
      <c r="O284" s="262"/>
      <c r="P284" s="246">
        <f>Données!AA284</f>
        <v>53</v>
      </c>
      <c r="Q284" s="281">
        <f>Données!AB284</f>
        <v>26</v>
      </c>
      <c r="R284" s="233">
        <f t="shared" si="56"/>
        <v>56.9</v>
      </c>
      <c r="S284" s="285">
        <f t="shared" si="57"/>
        <v>0.15132978723404256</v>
      </c>
      <c r="T284" s="270">
        <f t="shared" si="58"/>
        <v>51.20981595092023</v>
      </c>
      <c r="U284" s="270">
        <f t="shared" si="61"/>
        <v>5.6901840490797682</v>
      </c>
      <c r="V284" s="284">
        <f t="shared" si="62"/>
        <v>-24337</v>
      </c>
      <c r="W284" s="337"/>
      <c r="X284" s="233">
        <f t="shared" si="63"/>
        <v>-16680.118694362016</v>
      </c>
      <c r="Y284" s="250">
        <f t="shared" si="64"/>
        <v>-7656.881305637984</v>
      </c>
    </row>
    <row r="285" spans="1:25" x14ac:dyDescent="0.25">
      <c r="A285" s="108">
        <f>Données!A285</f>
        <v>5941</v>
      </c>
      <c r="B285" s="116" t="str">
        <f>Données!B285</f>
        <v>Mathod-Suscévaz</v>
      </c>
      <c r="C285" s="249">
        <f>Données!C285</f>
        <v>1003</v>
      </c>
      <c r="D285" s="262"/>
      <c r="E285" s="246">
        <f>Données!X285</f>
        <v>1046</v>
      </c>
      <c r="F285" s="283">
        <f t="shared" si="52"/>
        <v>1.0428713858424725</v>
      </c>
      <c r="G285" s="262">
        <f t="shared" si="53"/>
        <v>752.36617760617753</v>
      </c>
      <c r="H285" s="270">
        <f t="shared" si="59"/>
        <v>293.63382239382247</v>
      </c>
      <c r="I285" s="284">
        <f t="shared" si="60"/>
        <v>-31396</v>
      </c>
      <c r="J285" s="262"/>
      <c r="K285" s="271">
        <f>Données!Y285</f>
        <v>0</v>
      </c>
      <c r="L285" s="418">
        <f>Données!Z285</f>
        <v>2.1999999999999999E-2</v>
      </c>
      <c r="M285" s="262">
        <f t="shared" si="54"/>
        <v>12.937784371909</v>
      </c>
      <c r="N285" s="284">
        <f t="shared" si="55"/>
        <v>0</v>
      </c>
      <c r="O285" s="262"/>
      <c r="P285" s="246">
        <f>Données!AA285</f>
        <v>103</v>
      </c>
      <c r="Q285" s="281">
        <f>Données!AB285</f>
        <v>103</v>
      </c>
      <c r="R285" s="233">
        <f t="shared" si="56"/>
        <v>118.45</v>
      </c>
      <c r="S285" s="285">
        <f t="shared" si="57"/>
        <v>0.11809571286141575</v>
      </c>
      <c r="T285" s="270">
        <f t="shared" si="58"/>
        <v>136.60490797546009</v>
      </c>
      <c r="U285" s="270">
        <f t="shared" si="61"/>
        <v>0</v>
      </c>
      <c r="V285" s="284">
        <f t="shared" si="62"/>
        <v>0</v>
      </c>
      <c r="W285" s="337"/>
      <c r="X285" s="233">
        <f t="shared" si="63"/>
        <v>0</v>
      </c>
      <c r="Y285" s="250">
        <f t="shared" si="64"/>
        <v>0</v>
      </c>
    </row>
    <row r="286" spans="1:25" x14ac:dyDescent="0.25">
      <c r="A286" s="108">
        <f>Données!A286</f>
        <v>5921</v>
      </c>
      <c r="B286" s="116" t="str">
        <f>Données!B286</f>
        <v>Molondin</v>
      </c>
      <c r="C286" s="249">
        <f>Données!C286</f>
        <v>260</v>
      </c>
      <c r="D286" s="262"/>
      <c r="E286" s="246">
        <f>Données!X286</f>
        <v>552</v>
      </c>
      <c r="F286" s="283">
        <f t="shared" si="52"/>
        <v>2.1230769230769231</v>
      </c>
      <c r="G286" s="262">
        <f t="shared" si="53"/>
        <v>195.03011583011582</v>
      </c>
      <c r="H286" s="270">
        <f t="shared" si="59"/>
        <v>356.96988416988415</v>
      </c>
      <c r="I286" s="284">
        <f t="shared" si="60"/>
        <v>-38169</v>
      </c>
      <c r="J286" s="262"/>
      <c r="K286" s="271">
        <f>Données!Y286</f>
        <v>0</v>
      </c>
      <c r="L286" s="418">
        <f>Données!Z286</f>
        <v>0.13900000000000001</v>
      </c>
      <c r="M286" s="262">
        <f t="shared" si="54"/>
        <v>81.743273986152332</v>
      </c>
      <c r="N286" s="284">
        <f t="shared" si="55"/>
        <v>0</v>
      </c>
      <c r="O286" s="262"/>
      <c r="P286" s="246">
        <f>Données!AA286</f>
        <v>42</v>
      </c>
      <c r="Q286" s="281">
        <f>Données!AB286</f>
        <v>42</v>
      </c>
      <c r="R286" s="233">
        <f t="shared" si="56"/>
        <v>48.3</v>
      </c>
      <c r="S286" s="285">
        <f t="shared" si="57"/>
        <v>0.18576923076923077</v>
      </c>
      <c r="T286" s="270">
        <f t="shared" si="58"/>
        <v>35.411042944785265</v>
      </c>
      <c r="U286" s="270">
        <f t="shared" si="61"/>
        <v>12.888957055214732</v>
      </c>
      <c r="V286" s="284">
        <f t="shared" si="62"/>
        <v>-55125</v>
      </c>
      <c r="W286" s="337"/>
      <c r="X286" s="233">
        <f t="shared" si="63"/>
        <v>-26944.807121661717</v>
      </c>
      <c r="Y286" s="250">
        <f t="shared" si="64"/>
        <v>-28180.192878338283</v>
      </c>
    </row>
    <row r="287" spans="1:25" x14ac:dyDescent="0.25">
      <c r="A287" s="108">
        <f>Données!A287</f>
        <v>5922</v>
      </c>
      <c r="B287" s="116" t="str">
        <f>Données!B287</f>
        <v>Montagny-près-Yverdon</v>
      </c>
      <c r="C287" s="249">
        <f>Données!C287</f>
        <v>768</v>
      </c>
      <c r="D287" s="262"/>
      <c r="E287" s="246">
        <f>Données!X287</f>
        <v>348</v>
      </c>
      <c r="F287" s="283">
        <f t="shared" si="52"/>
        <v>0.453125</v>
      </c>
      <c r="G287" s="262">
        <f t="shared" si="53"/>
        <v>576.08895752895751</v>
      </c>
      <c r="H287" s="270">
        <f t="shared" si="59"/>
        <v>0</v>
      </c>
      <c r="I287" s="284">
        <f t="shared" si="60"/>
        <v>0</v>
      </c>
      <c r="J287" s="262"/>
      <c r="K287" s="271">
        <f>Données!Y287</f>
        <v>0</v>
      </c>
      <c r="L287" s="418">
        <f>Données!Z287</f>
        <v>0.06</v>
      </c>
      <c r="M287" s="262">
        <f t="shared" si="54"/>
        <v>35.284866468842729</v>
      </c>
      <c r="N287" s="284">
        <f t="shared" si="55"/>
        <v>0</v>
      </c>
      <c r="O287" s="262"/>
      <c r="P287" s="246">
        <f>Données!AA287</f>
        <v>84</v>
      </c>
      <c r="Q287" s="281">
        <f>Données!AB287</f>
        <v>53</v>
      </c>
      <c r="R287" s="233">
        <f t="shared" si="56"/>
        <v>91.95</v>
      </c>
      <c r="S287" s="285">
        <f t="shared" si="57"/>
        <v>0.11972656250000001</v>
      </c>
      <c r="T287" s="270">
        <f t="shared" si="58"/>
        <v>104.59877300613493</v>
      </c>
      <c r="U287" s="270">
        <f t="shared" si="61"/>
        <v>0</v>
      </c>
      <c r="V287" s="284">
        <f t="shared" si="62"/>
        <v>0</v>
      </c>
      <c r="W287" s="337"/>
      <c r="X287" s="233">
        <f t="shared" si="63"/>
        <v>0</v>
      </c>
      <c r="Y287" s="250">
        <f t="shared" si="64"/>
        <v>0</v>
      </c>
    </row>
    <row r="288" spans="1:25" x14ac:dyDescent="0.25">
      <c r="A288" s="108">
        <f>Données!A288</f>
        <v>5923</v>
      </c>
      <c r="B288" s="116" t="str">
        <f>Données!B288</f>
        <v>Oppens</v>
      </c>
      <c r="C288" s="249">
        <f>Données!C288</f>
        <v>201</v>
      </c>
      <c r="D288" s="262"/>
      <c r="E288" s="246">
        <f>Données!X288</f>
        <v>358</v>
      </c>
      <c r="F288" s="283">
        <f t="shared" si="52"/>
        <v>1.7810945273631842</v>
      </c>
      <c r="G288" s="262">
        <f t="shared" si="53"/>
        <v>150.77328185328184</v>
      </c>
      <c r="H288" s="270">
        <f t="shared" si="59"/>
        <v>207.22671814671816</v>
      </c>
      <c r="I288" s="284">
        <f t="shared" si="60"/>
        <v>-22157</v>
      </c>
      <c r="J288" s="262"/>
      <c r="K288" s="271">
        <f>Données!Y288</f>
        <v>0</v>
      </c>
      <c r="L288" s="418">
        <f>Données!Z288</f>
        <v>0.107</v>
      </c>
      <c r="M288" s="262">
        <f t="shared" si="54"/>
        <v>62.924678536102867</v>
      </c>
      <c r="N288" s="284">
        <f t="shared" si="55"/>
        <v>0</v>
      </c>
      <c r="O288" s="262"/>
      <c r="P288" s="246">
        <f>Données!AA288</f>
        <v>26</v>
      </c>
      <c r="Q288" s="281">
        <f>Données!AB288</f>
        <v>18</v>
      </c>
      <c r="R288" s="233">
        <f t="shared" si="56"/>
        <v>28.7</v>
      </c>
      <c r="S288" s="285">
        <f t="shared" si="57"/>
        <v>0.14278606965174129</v>
      </c>
      <c r="T288" s="270">
        <f t="shared" si="58"/>
        <v>27.37546012269938</v>
      </c>
      <c r="U288" s="270">
        <f t="shared" si="61"/>
        <v>1.3245398773006194</v>
      </c>
      <c r="V288" s="284">
        <f t="shared" si="62"/>
        <v>-5665</v>
      </c>
      <c r="W288" s="337"/>
      <c r="X288" s="233">
        <f t="shared" si="63"/>
        <v>-5665</v>
      </c>
      <c r="Y288" s="250">
        <f t="shared" si="64"/>
        <v>0</v>
      </c>
    </row>
    <row r="289" spans="1:25" x14ac:dyDescent="0.25">
      <c r="A289" s="108">
        <f>Données!A289</f>
        <v>5924</v>
      </c>
      <c r="B289" s="116" t="str">
        <f>Données!B289</f>
        <v>Orges</v>
      </c>
      <c r="C289" s="249">
        <f>Données!C289</f>
        <v>416</v>
      </c>
      <c r="D289" s="262"/>
      <c r="E289" s="246">
        <f>Données!X289</f>
        <v>405</v>
      </c>
      <c r="F289" s="283">
        <f t="shared" si="52"/>
        <v>0.97355769230769229</v>
      </c>
      <c r="G289" s="262">
        <f t="shared" si="53"/>
        <v>312.0481853281853</v>
      </c>
      <c r="H289" s="270">
        <f t="shared" si="59"/>
        <v>92.951814671814702</v>
      </c>
      <c r="I289" s="284">
        <f t="shared" si="60"/>
        <v>-9939</v>
      </c>
      <c r="J289" s="262"/>
      <c r="K289" s="271">
        <f>Données!Y289</f>
        <v>0</v>
      </c>
      <c r="L289" s="418">
        <f>Données!Z289</f>
        <v>1.2999999999999999E-2</v>
      </c>
      <c r="M289" s="262">
        <f t="shared" si="54"/>
        <v>7.6450544015825912</v>
      </c>
      <c r="N289" s="284">
        <f t="shared" si="55"/>
        <v>0</v>
      </c>
      <c r="O289" s="262"/>
      <c r="P289" s="246">
        <f>Données!AA289</f>
        <v>49</v>
      </c>
      <c r="Q289" s="281">
        <f>Données!AB289</f>
        <v>42</v>
      </c>
      <c r="R289" s="233">
        <f t="shared" si="56"/>
        <v>55.3</v>
      </c>
      <c r="S289" s="285">
        <f t="shared" si="57"/>
        <v>0.13293269230769231</v>
      </c>
      <c r="T289" s="270">
        <f t="shared" si="58"/>
        <v>56.657668711656427</v>
      </c>
      <c r="U289" s="270">
        <f t="shared" si="61"/>
        <v>0</v>
      </c>
      <c r="V289" s="284">
        <f t="shared" si="62"/>
        <v>0</v>
      </c>
      <c r="W289" s="337"/>
      <c r="X289" s="233">
        <f t="shared" si="63"/>
        <v>0</v>
      </c>
      <c r="Y289" s="250">
        <f t="shared" si="64"/>
        <v>0</v>
      </c>
    </row>
    <row r="290" spans="1:25" x14ac:dyDescent="0.25">
      <c r="A290" s="108">
        <f>Données!A290</f>
        <v>5925</v>
      </c>
      <c r="B290" s="116" t="str">
        <f>Données!B290</f>
        <v>Orzens</v>
      </c>
      <c r="C290" s="249">
        <f>Données!C290</f>
        <v>216</v>
      </c>
      <c r="D290" s="262"/>
      <c r="E290" s="246">
        <f>Données!X290</f>
        <v>420</v>
      </c>
      <c r="F290" s="283">
        <f t="shared" si="52"/>
        <v>1.9444444444444444</v>
      </c>
      <c r="G290" s="262">
        <f t="shared" si="53"/>
        <v>162.0250193050193</v>
      </c>
      <c r="H290" s="270">
        <f t="shared" si="59"/>
        <v>257.97498069498067</v>
      </c>
      <c r="I290" s="284">
        <f t="shared" si="60"/>
        <v>-27584</v>
      </c>
      <c r="J290" s="262"/>
      <c r="K290" s="271">
        <f>Données!Y290</f>
        <v>0</v>
      </c>
      <c r="L290" s="418">
        <f>Données!Z290</f>
        <v>6.3E-2</v>
      </c>
      <c r="M290" s="262">
        <f t="shared" si="54"/>
        <v>37.049109792284867</v>
      </c>
      <c r="N290" s="284">
        <f t="shared" si="55"/>
        <v>0</v>
      </c>
      <c r="O290" s="262"/>
      <c r="P290" s="246">
        <f>Données!AA290</f>
        <v>20</v>
      </c>
      <c r="Q290" s="281">
        <f>Données!AB290</f>
        <v>20</v>
      </c>
      <c r="R290" s="233">
        <f t="shared" si="56"/>
        <v>23</v>
      </c>
      <c r="S290" s="285">
        <f t="shared" si="57"/>
        <v>0.10648148148148148</v>
      </c>
      <c r="T290" s="270">
        <f t="shared" si="58"/>
        <v>29.418404907975454</v>
      </c>
      <c r="U290" s="270">
        <f t="shared" si="61"/>
        <v>0</v>
      </c>
      <c r="V290" s="284">
        <f t="shared" si="62"/>
        <v>0</v>
      </c>
      <c r="W290" s="337"/>
      <c r="X290" s="233">
        <f t="shared" si="63"/>
        <v>0</v>
      </c>
      <c r="Y290" s="250">
        <f t="shared" si="64"/>
        <v>0</v>
      </c>
    </row>
    <row r="291" spans="1:25" x14ac:dyDescent="0.25">
      <c r="A291" s="108">
        <f>Données!A291</f>
        <v>5926</v>
      </c>
      <c r="B291" s="116" t="str">
        <f>Données!B291</f>
        <v>Pomy</v>
      </c>
      <c r="C291" s="249">
        <f>Données!C291</f>
        <v>904</v>
      </c>
      <c r="D291" s="262"/>
      <c r="E291" s="246">
        <f>Données!X291</f>
        <v>559</v>
      </c>
      <c r="F291" s="283">
        <f t="shared" si="52"/>
        <v>0.61836283185840712</v>
      </c>
      <c r="G291" s="262">
        <f t="shared" si="53"/>
        <v>678.10471042471033</v>
      </c>
      <c r="H291" s="270">
        <f t="shared" si="59"/>
        <v>0</v>
      </c>
      <c r="I291" s="284">
        <f t="shared" si="60"/>
        <v>0</v>
      </c>
      <c r="J291" s="262"/>
      <c r="K291" s="271">
        <f>Données!Y291</f>
        <v>0</v>
      </c>
      <c r="L291" s="418">
        <f>Données!Z291</f>
        <v>3.6999999999999998E-2</v>
      </c>
      <c r="M291" s="262">
        <f t="shared" si="54"/>
        <v>21.759000989119681</v>
      </c>
      <c r="N291" s="284">
        <f t="shared" si="55"/>
        <v>0</v>
      </c>
      <c r="O291" s="262"/>
      <c r="P291" s="246">
        <f>Données!AA291</f>
        <v>138</v>
      </c>
      <c r="Q291" s="281">
        <f>Données!AB291</f>
        <v>86</v>
      </c>
      <c r="R291" s="233">
        <f t="shared" si="56"/>
        <v>150.9</v>
      </c>
      <c r="S291" s="285">
        <f t="shared" si="57"/>
        <v>0.16692477876106196</v>
      </c>
      <c r="T291" s="270">
        <f t="shared" si="58"/>
        <v>123.121472392638</v>
      </c>
      <c r="U291" s="270">
        <f t="shared" si="61"/>
        <v>27.778527607362008</v>
      </c>
      <c r="V291" s="284">
        <f t="shared" si="62"/>
        <v>-118807</v>
      </c>
      <c r="W291" s="337"/>
      <c r="X291" s="233">
        <f t="shared" si="63"/>
        <v>-55172.7002967359</v>
      </c>
      <c r="Y291" s="250">
        <f t="shared" si="64"/>
        <v>-63634.2997032641</v>
      </c>
    </row>
    <row r="292" spans="1:25" x14ac:dyDescent="0.25">
      <c r="A292" s="108">
        <f>Données!A292</f>
        <v>5928</v>
      </c>
      <c r="B292" s="116" t="str">
        <f>Données!B292</f>
        <v>Rovray</v>
      </c>
      <c r="C292" s="249">
        <f>Données!C292</f>
        <v>198</v>
      </c>
      <c r="D292" s="262"/>
      <c r="E292" s="246">
        <f>Données!X292</f>
        <v>322</v>
      </c>
      <c r="F292" s="283">
        <f t="shared" si="52"/>
        <v>1.6262626262626263</v>
      </c>
      <c r="G292" s="262">
        <f t="shared" si="53"/>
        <v>148.52293436293434</v>
      </c>
      <c r="H292" s="270">
        <f t="shared" si="59"/>
        <v>173.47706563706566</v>
      </c>
      <c r="I292" s="284">
        <f t="shared" si="60"/>
        <v>-18549</v>
      </c>
      <c r="J292" s="262"/>
      <c r="K292" s="271">
        <f>Données!Y292</f>
        <v>0</v>
      </c>
      <c r="L292" s="418">
        <f>Données!Z292</f>
        <v>7.9000000000000001E-2</v>
      </c>
      <c r="M292" s="262">
        <f t="shared" si="54"/>
        <v>46.458407517309595</v>
      </c>
      <c r="N292" s="284">
        <f t="shared" si="55"/>
        <v>0</v>
      </c>
      <c r="O292" s="262"/>
      <c r="P292" s="246">
        <f>Données!AA292</f>
        <v>37</v>
      </c>
      <c r="Q292" s="281">
        <f>Données!AB292</f>
        <v>37</v>
      </c>
      <c r="R292" s="233">
        <f t="shared" si="56"/>
        <v>42.55</v>
      </c>
      <c r="S292" s="285">
        <f t="shared" si="57"/>
        <v>0.2148989898989899</v>
      </c>
      <c r="T292" s="270">
        <f t="shared" si="58"/>
        <v>26.966871165644164</v>
      </c>
      <c r="U292" s="270">
        <f t="shared" si="61"/>
        <v>15.583128834355833</v>
      </c>
      <c r="V292" s="284">
        <f t="shared" si="62"/>
        <v>-66648</v>
      </c>
      <c r="W292" s="337"/>
      <c r="X292" s="233">
        <f t="shared" si="63"/>
        <v>-23737.091988130564</v>
      </c>
      <c r="Y292" s="250">
        <f t="shared" si="64"/>
        <v>-42910.90801186944</v>
      </c>
    </row>
    <row r="293" spans="1:25" x14ac:dyDescent="0.25">
      <c r="A293" s="108">
        <f>Données!A293</f>
        <v>5929</v>
      </c>
      <c r="B293" s="116" t="str">
        <f>Données!B293</f>
        <v>Suchy</v>
      </c>
      <c r="C293" s="249">
        <f>Données!C293</f>
        <v>672</v>
      </c>
      <c r="D293" s="262"/>
      <c r="E293" s="246">
        <f>Données!X293</f>
        <v>665</v>
      </c>
      <c r="F293" s="283">
        <f t="shared" si="52"/>
        <v>0.98958333333333337</v>
      </c>
      <c r="G293" s="262">
        <f t="shared" si="53"/>
        <v>504.07783783783782</v>
      </c>
      <c r="H293" s="270">
        <f t="shared" si="59"/>
        <v>160.92216216216218</v>
      </c>
      <c r="I293" s="284">
        <f t="shared" si="60"/>
        <v>-17206</v>
      </c>
      <c r="J293" s="262"/>
      <c r="K293" s="271">
        <f>Données!Y293</f>
        <v>0</v>
      </c>
      <c r="L293" s="418">
        <f>Données!Z293</f>
        <v>3.3000000000000002E-2</v>
      </c>
      <c r="M293" s="262">
        <f t="shared" si="54"/>
        <v>19.406676557863502</v>
      </c>
      <c r="N293" s="284">
        <f t="shared" si="55"/>
        <v>0</v>
      </c>
      <c r="O293" s="262"/>
      <c r="P293" s="246">
        <f>Données!AA293</f>
        <v>102</v>
      </c>
      <c r="Q293" s="281">
        <f>Données!AB293</f>
        <v>101</v>
      </c>
      <c r="R293" s="233">
        <f t="shared" si="56"/>
        <v>117.15</v>
      </c>
      <c r="S293" s="285">
        <f t="shared" si="57"/>
        <v>0.17433035714285716</v>
      </c>
      <c r="T293" s="270">
        <f t="shared" si="58"/>
        <v>91.523926380368067</v>
      </c>
      <c r="U293" s="270">
        <f t="shared" si="61"/>
        <v>25.626073619631939</v>
      </c>
      <c r="V293" s="284">
        <f t="shared" si="62"/>
        <v>-109602</v>
      </c>
      <c r="W293" s="337"/>
      <c r="X293" s="233">
        <f t="shared" si="63"/>
        <v>-64795.845697329365</v>
      </c>
      <c r="Y293" s="250">
        <f t="shared" si="64"/>
        <v>-44806.154302670635</v>
      </c>
    </row>
    <row r="294" spans="1:25" x14ac:dyDescent="0.25">
      <c r="A294" s="108">
        <f>Données!A294</f>
        <v>5931</v>
      </c>
      <c r="B294" s="116" t="str">
        <f>Données!B294</f>
        <v>Treycovagnes</v>
      </c>
      <c r="C294" s="249">
        <f>Données!C294</f>
        <v>518</v>
      </c>
      <c r="D294" s="262"/>
      <c r="E294" s="246">
        <f>Données!X294</f>
        <v>204</v>
      </c>
      <c r="F294" s="283">
        <f t="shared" si="52"/>
        <v>0.39382239382239381</v>
      </c>
      <c r="G294" s="262">
        <f t="shared" si="53"/>
        <v>388.55999999999995</v>
      </c>
      <c r="H294" s="270">
        <f t="shared" si="59"/>
        <v>0</v>
      </c>
      <c r="I294" s="284">
        <f t="shared" si="60"/>
        <v>0</v>
      </c>
      <c r="J294" s="262"/>
      <c r="K294" s="271">
        <f>Données!Y294</f>
        <v>0</v>
      </c>
      <c r="L294" s="418">
        <f>Données!Z294</f>
        <v>1.7999999999999999E-2</v>
      </c>
      <c r="M294" s="262">
        <f t="shared" si="54"/>
        <v>10.585459940652818</v>
      </c>
      <c r="N294" s="284">
        <f t="shared" si="55"/>
        <v>0</v>
      </c>
      <c r="O294" s="262"/>
      <c r="P294" s="246">
        <f>Données!AA294</f>
        <v>57</v>
      </c>
      <c r="Q294" s="281">
        <f>Données!AB294</f>
        <v>13</v>
      </c>
      <c r="R294" s="233">
        <f t="shared" si="56"/>
        <v>58.95</v>
      </c>
      <c r="S294" s="285">
        <f t="shared" si="57"/>
        <v>0.11380308880308881</v>
      </c>
      <c r="T294" s="270">
        <f t="shared" si="58"/>
        <v>70.549693251533725</v>
      </c>
      <c r="U294" s="270">
        <f t="shared" si="61"/>
        <v>0</v>
      </c>
      <c r="V294" s="284">
        <f t="shared" si="62"/>
        <v>0</v>
      </c>
      <c r="W294" s="337"/>
      <c r="X294" s="233">
        <f t="shared" si="63"/>
        <v>0</v>
      </c>
      <c r="Y294" s="250">
        <f t="shared" si="64"/>
        <v>0</v>
      </c>
    </row>
    <row r="295" spans="1:25" x14ac:dyDescent="0.25">
      <c r="A295" s="108">
        <f>Données!A295</f>
        <v>5932</v>
      </c>
      <c r="B295" s="116" t="str">
        <f>Données!B295</f>
        <v>Ursins</v>
      </c>
      <c r="C295" s="249">
        <f>Données!C295</f>
        <v>227</v>
      </c>
      <c r="D295" s="262"/>
      <c r="E295" s="246">
        <f>Données!X295</f>
        <v>339</v>
      </c>
      <c r="F295" s="283">
        <f t="shared" si="52"/>
        <v>1.4933920704845816</v>
      </c>
      <c r="G295" s="262">
        <f t="shared" si="53"/>
        <v>170.27629343629343</v>
      </c>
      <c r="H295" s="270">
        <f t="shared" si="59"/>
        <v>168.72370656370657</v>
      </c>
      <c r="I295" s="284">
        <f t="shared" si="60"/>
        <v>-18041</v>
      </c>
      <c r="J295" s="262"/>
      <c r="K295" s="271">
        <f>Données!Y295</f>
        <v>0</v>
      </c>
      <c r="L295" s="418">
        <f>Données!Z295</f>
        <v>1.7000000000000001E-2</v>
      </c>
      <c r="M295" s="262">
        <f t="shared" si="54"/>
        <v>9.9973788328387734</v>
      </c>
      <c r="N295" s="284">
        <f t="shared" si="55"/>
        <v>0</v>
      </c>
      <c r="O295" s="262"/>
      <c r="P295" s="246">
        <f>Données!AA295</f>
        <v>20</v>
      </c>
      <c r="Q295" s="281">
        <f>Données!AB295</f>
        <v>20</v>
      </c>
      <c r="R295" s="233">
        <f t="shared" si="56"/>
        <v>23</v>
      </c>
      <c r="S295" s="285">
        <f t="shared" si="57"/>
        <v>0.1013215859030837</v>
      </c>
      <c r="T295" s="270">
        <f t="shared" si="58"/>
        <v>30.916564417177906</v>
      </c>
      <c r="U295" s="270">
        <f t="shared" si="61"/>
        <v>0</v>
      </c>
      <c r="V295" s="284">
        <f t="shared" si="62"/>
        <v>0</v>
      </c>
      <c r="W295" s="337"/>
      <c r="X295" s="233">
        <f t="shared" si="63"/>
        <v>0</v>
      </c>
      <c r="Y295" s="250">
        <f t="shared" si="64"/>
        <v>0</v>
      </c>
    </row>
    <row r="296" spans="1:25" x14ac:dyDescent="0.25">
      <c r="A296" s="108">
        <f>Données!A296</f>
        <v>5933</v>
      </c>
      <c r="B296" s="116" t="str">
        <f>Données!B296</f>
        <v>Valeyres-sous-Montagny</v>
      </c>
      <c r="C296" s="249">
        <f>Données!C296</f>
        <v>717</v>
      </c>
      <c r="D296" s="262"/>
      <c r="E296" s="246">
        <f>Données!X296</f>
        <v>225</v>
      </c>
      <c r="F296" s="283">
        <f t="shared" si="52"/>
        <v>0.31380753138075312</v>
      </c>
      <c r="G296" s="262">
        <f t="shared" si="53"/>
        <v>537.8330501930501</v>
      </c>
      <c r="H296" s="270">
        <f t="shared" si="59"/>
        <v>0</v>
      </c>
      <c r="I296" s="284">
        <f t="shared" si="60"/>
        <v>0</v>
      </c>
      <c r="J296" s="262"/>
      <c r="K296" s="271">
        <f>Données!Y296</f>
        <v>0</v>
      </c>
      <c r="L296" s="418">
        <f>Données!Z296</f>
        <v>6.8000000000000005E-2</v>
      </c>
      <c r="M296" s="262">
        <f t="shared" si="54"/>
        <v>39.989515331355094</v>
      </c>
      <c r="N296" s="284">
        <f t="shared" si="55"/>
        <v>0</v>
      </c>
      <c r="O296" s="262"/>
      <c r="P296" s="246">
        <f>Données!AA296</f>
        <v>71</v>
      </c>
      <c r="Q296" s="281">
        <f>Données!AB296</f>
        <v>23</v>
      </c>
      <c r="R296" s="233">
        <f t="shared" si="56"/>
        <v>74.45</v>
      </c>
      <c r="S296" s="285">
        <f t="shared" si="57"/>
        <v>0.10383542538354254</v>
      </c>
      <c r="T296" s="270">
        <f t="shared" si="58"/>
        <v>97.652760736196299</v>
      </c>
      <c r="U296" s="270">
        <f t="shared" si="61"/>
        <v>0</v>
      </c>
      <c r="V296" s="284">
        <f t="shared" si="62"/>
        <v>0</v>
      </c>
      <c r="W296" s="337"/>
      <c r="X296" s="233">
        <f t="shared" si="63"/>
        <v>0</v>
      </c>
      <c r="Y296" s="250">
        <f t="shared" si="64"/>
        <v>0</v>
      </c>
    </row>
    <row r="297" spans="1:25" x14ac:dyDescent="0.25">
      <c r="A297" s="108">
        <f>Données!A297</f>
        <v>5934</v>
      </c>
      <c r="B297" s="116" t="str">
        <f>Données!B297</f>
        <v>Valeyres-sous-Ursins</v>
      </c>
      <c r="C297" s="249">
        <f>Données!C297</f>
        <v>225</v>
      </c>
      <c r="D297" s="262"/>
      <c r="E297" s="246">
        <f>Données!X297</f>
        <v>286</v>
      </c>
      <c r="F297" s="283">
        <f t="shared" si="52"/>
        <v>1.2711111111111111</v>
      </c>
      <c r="G297" s="262">
        <f t="shared" si="53"/>
        <v>168.77606177606177</v>
      </c>
      <c r="H297" s="270">
        <f t="shared" si="59"/>
        <v>117.22393822393823</v>
      </c>
      <c r="I297" s="284">
        <f t="shared" si="60"/>
        <v>-12534</v>
      </c>
      <c r="J297" s="262"/>
      <c r="K297" s="271">
        <f>Données!Y297</f>
        <v>0</v>
      </c>
      <c r="L297" s="418">
        <f>Données!Z297</f>
        <v>0.08</v>
      </c>
      <c r="M297" s="262">
        <f t="shared" si="54"/>
        <v>47.046488625123636</v>
      </c>
      <c r="N297" s="284">
        <f t="shared" si="55"/>
        <v>0</v>
      </c>
      <c r="O297" s="262"/>
      <c r="P297" s="246">
        <f>Données!AA297</f>
        <v>21</v>
      </c>
      <c r="Q297" s="281">
        <f>Données!AB297</f>
        <v>21</v>
      </c>
      <c r="R297" s="233">
        <f t="shared" si="56"/>
        <v>24.15</v>
      </c>
      <c r="S297" s="285">
        <f t="shared" si="57"/>
        <v>0.10733333333333332</v>
      </c>
      <c r="T297" s="270">
        <f t="shared" si="58"/>
        <v>30.644171779141097</v>
      </c>
      <c r="U297" s="270">
        <f t="shared" si="61"/>
        <v>0</v>
      </c>
      <c r="V297" s="284">
        <f t="shared" si="62"/>
        <v>0</v>
      </c>
      <c r="W297" s="337"/>
      <c r="X297" s="233">
        <f t="shared" si="63"/>
        <v>0</v>
      </c>
      <c r="Y297" s="250">
        <f t="shared" si="64"/>
        <v>0</v>
      </c>
    </row>
    <row r="298" spans="1:25" x14ac:dyDescent="0.25">
      <c r="A298" s="108">
        <f>Données!A298</f>
        <v>5935</v>
      </c>
      <c r="B298" s="116" t="str">
        <f>Données!B298</f>
        <v>Villars-Epeney</v>
      </c>
      <c r="C298" s="249">
        <f>Données!C298</f>
        <v>109</v>
      </c>
      <c r="D298" s="262"/>
      <c r="E298" s="246">
        <f>Données!X298</f>
        <v>88</v>
      </c>
      <c r="F298" s="283">
        <f t="shared" si="52"/>
        <v>0.80733944954128445</v>
      </c>
      <c r="G298" s="262">
        <f t="shared" si="53"/>
        <v>81.762625482625481</v>
      </c>
      <c r="H298" s="270">
        <f t="shared" si="59"/>
        <v>6.2373745173745192</v>
      </c>
      <c r="I298" s="284">
        <f t="shared" si="60"/>
        <v>-667</v>
      </c>
      <c r="J298" s="262"/>
      <c r="K298" s="271">
        <f>Données!Y298</f>
        <v>0</v>
      </c>
      <c r="L298" s="418">
        <f>Données!Z298</f>
        <v>1.9E-2</v>
      </c>
      <c r="M298" s="262">
        <f t="shared" si="54"/>
        <v>11.173541048466864</v>
      </c>
      <c r="N298" s="284">
        <f t="shared" si="55"/>
        <v>0</v>
      </c>
      <c r="O298" s="262"/>
      <c r="P298" s="246">
        <f>Données!AA298</f>
        <v>13</v>
      </c>
      <c r="Q298" s="281">
        <f>Données!AB298</f>
        <v>13</v>
      </c>
      <c r="R298" s="233">
        <f t="shared" si="56"/>
        <v>14.95</v>
      </c>
      <c r="S298" s="285">
        <f t="shared" si="57"/>
        <v>0.13715596330275229</v>
      </c>
      <c r="T298" s="270">
        <f t="shared" si="58"/>
        <v>14.845398773006131</v>
      </c>
      <c r="U298" s="270">
        <f t="shared" si="61"/>
        <v>0.10460122699386787</v>
      </c>
      <c r="V298" s="284">
        <f t="shared" si="62"/>
        <v>-447</v>
      </c>
      <c r="W298" s="337"/>
      <c r="X298" s="233">
        <f t="shared" si="63"/>
        <v>-447</v>
      </c>
      <c r="Y298" s="250">
        <f t="shared" si="64"/>
        <v>0</v>
      </c>
    </row>
    <row r="299" spans="1:25" x14ac:dyDescent="0.25">
      <c r="A299" s="108">
        <f>Données!A299</f>
        <v>5937</v>
      </c>
      <c r="B299" s="116" t="str">
        <f>Données!B299</f>
        <v>Vugelles-La Mothe</v>
      </c>
      <c r="C299" s="249">
        <f>Données!C299</f>
        <v>142</v>
      </c>
      <c r="D299" s="262"/>
      <c r="E299" s="246">
        <f>Données!X299</f>
        <v>303</v>
      </c>
      <c r="F299" s="283">
        <f t="shared" si="52"/>
        <v>2.1338028169014085</v>
      </c>
      <c r="G299" s="262">
        <f t="shared" si="53"/>
        <v>106.51644787644787</v>
      </c>
      <c r="H299" s="270">
        <f t="shared" si="59"/>
        <v>196.48355212355213</v>
      </c>
      <c r="I299" s="284">
        <f t="shared" si="60"/>
        <v>-21009</v>
      </c>
      <c r="J299" s="262"/>
      <c r="K299" s="271">
        <f>Données!Y299</f>
        <v>0</v>
      </c>
      <c r="L299" s="418">
        <f>Données!Z299</f>
        <v>0.52900000000000003</v>
      </c>
      <c r="M299" s="262">
        <f t="shared" si="54"/>
        <v>311.09490603363008</v>
      </c>
      <c r="N299" s="284">
        <f t="shared" si="55"/>
        <v>0</v>
      </c>
      <c r="O299" s="262"/>
      <c r="P299" s="246">
        <f>Données!AA299</f>
        <v>10</v>
      </c>
      <c r="Q299" s="281">
        <f>Données!AB299</f>
        <v>10</v>
      </c>
      <c r="R299" s="233">
        <f t="shared" si="56"/>
        <v>11.5</v>
      </c>
      <c r="S299" s="285">
        <f t="shared" si="57"/>
        <v>8.098591549295775E-2</v>
      </c>
      <c r="T299" s="270">
        <f t="shared" si="58"/>
        <v>19.339877300613491</v>
      </c>
      <c r="U299" s="270">
        <f t="shared" si="61"/>
        <v>0</v>
      </c>
      <c r="V299" s="284">
        <f t="shared" si="62"/>
        <v>0</v>
      </c>
      <c r="W299" s="337"/>
      <c r="X299" s="233">
        <f t="shared" si="63"/>
        <v>0</v>
      </c>
      <c r="Y299" s="250">
        <f t="shared" si="64"/>
        <v>0</v>
      </c>
    </row>
    <row r="300" spans="1:25" x14ac:dyDescent="0.25">
      <c r="A300" s="108">
        <f>Données!A300</f>
        <v>5938</v>
      </c>
      <c r="B300" s="116" t="str">
        <f>Données!B300</f>
        <v>Yverdon-les-Bains</v>
      </c>
      <c r="C300" s="249">
        <f>Données!C300</f>
        <v>30600</v>
      </c>
      <c r="D300" s="262"/>
      <c r="E300" s="246">
        <f>Données!X300</f>
        <v>1279</v>
      </c>
      <c r="F300" s="283">
        <f t="shared" si="52"/>
        <v>4.1797385620915034E-2</v>
      </c>
      <c r="G300" s="262">
        <f t="shared" si="53"/>
        <v>22953.544401544401</v>
      </c>
      <c r="H300" s="270">
        <f t="shared" si="59"/>
        <v>0</v>
      </c>
      <c r="I300" s="284">
        <f t="shared" si="60"/>
        <v>0</v>
      </c>
      <c r="J300" s="262"/>
      <c r="K300" s="271">
        <f>Données!Y300</f>
        <v>0</v>
      </c>
      <c r="L300" s="418">
        <f>Données!Z300</f>
        <v>6.4000000000000001E-2</v>
      </c>
      <c r="M300" s="262">
        <f t="shared" si="54"/>
        <v>37.637190900098915</v>
      </c>
      <c r="N300" s="284">
        <f t="shared" si="55"/>
        <v>0</v>
      </c>
      <c r="O300" s="262"/>
      <c r="P300" s="246">
        <f>Données!AA300</f>
        <v>3633</v>
      </c>
      <c r="Q300" s="281">
        <f>Données!AB300</f>
        <v>96</v>
      </c>
      <c r="R300" s="233">
        <f t="shared" si="56"/>
        <v>3647.4</v>
      </c>
      <c r="S300" s="285">
        <f t="shared" si="57"/>
        <v>0.11919607843137255</v>
      </c>
      <c r="T300" s="270">
        <f t="shared" si="58"/>
        <v>4167.6073619631889</v>
      </c>
      <c r="U300" s="270">
        <f t="shared" si="61"/>
        <v>0</v>
      </c>
      <c r="V300" s="284">
        <f t="shared" si="62"/>
        <v>0</v>
      </c>
      <c r="W300" s="337"/>
      <c r="X300" s="233">
        <f t="shared" si="63"/>
        <v>0</v>
      </c>
      <c r="Y300" s="250">
        <f t="shared" si="64"/>
        <v>0</v>
      </c>
    </row>
    <row r="301" spans="1:25" x14ac:dyDescent="0.25">
      <c r="A301" s="110">
        <f>Données!A301</f>
        <v>5939</v>
      </c>
      <c r="B301" s="117" t="str">
        <f>Données!B301</f>
        <v>Yvonand</v>
      </c>
      <c r="C301" s="272">
        <f>Données!C301</f>
        <v>3536</v>
      </c>
      <c r="D301" s="262"/>
      <c r="E301" s="273">
        <f>Données!X301</f>
        <v>1294</v>
      </c>
      <c r="F301" s="286">
        <f>E301/C301</f>
        <v>0.36595022624434387</v>
      </c>
      <c r="G301" s="262">
        <f t="shared" si="53"/>
        <v>2652.4095752895751</v>
      </c>
      <c r="H301" s="270">
        <f t="shared" si="59"/>
        <v>0</v>
      </c>
      <c r="I301" s="287">
        <f t="shared" si="60"/>
        <v>0</v>
      </c>
      <c r="J301" s="262"/>
      <c r="K301" s="288">
        <f>Données!Y301</f>
        <v>0</v>
      </c>
      <c r="L301" s="419">
        <f>Données!Z301</f>
        <v>0.13300000000000001</v>
      </c>
      <c r="M301" s="275">
        <f t="shared" si="54"/>
        <v>78.214787339268057</v>
      </c>
      <c r="N301" s="287">
        <f t="shared" si="55"/>
        <v>0</v>
      </c>
      <c r="O301" s="262"/>
      <c r="P301" s="246">
        <f>Données!AA301</f>
        <v>474</v>
      </c>
      <c r="Q301" s="281">
        <f>Données!AB301</f>
        <v>37</v>
      </c>
      <c r="R301" s="255">
        <f t="shared" si="56"/>
        <v>479.55</v>
      </c>
      <c r="S301" s="289">
        <f t="shared" si="57"/>
        <v>0.1356193438914027</v>
      </c>
      <c r="T301" s="276">
        <f t="shared" si="58"/>
        <v>481.5901840490796</v>
      </c>
      <c r="U301" s="276">
        <f t="shared" si="61"/>
        <v>0</v>
      </c>
      <c r="V301" s="287">
        <f t="shared" si="62"/>
        <v>0</v>
      </c>
      <c r="W301" s="337"/>
      <c r="X301" s="255">
        <f t="shared" si="63"/>
        <v>0</v>
      </c>
      <c r="Y301" s="256">
        <f t="shared" si="64"/>
        <v>0</v>
      </c>
    </row>
    <row r="302" spans="1:25" x14ac:dyDescent="0.25">
      <c r="A302" s="526" t="s">
        <v>25</v>
      </c>
      <c r="B302" s="527"/>
      <c r="C302" s="290">
        <f>SUM(C8:C301)</f>
        <v>864226</v>
      </c>
      <c r="D302" s="262"/>
      <c r="E302" s="259">
        <f>SUM(E8:E301)</f>
        <v>269771</v>
      </c>
      <c r="F302" s="259" t="s">
        <v>26</v>
      </c>
      <c r="G302" s="291">
        <f>SUM(G8:G301)</f>
        <v>648269.60339768324</v>
      </c>
      <c r="H302" s="259">
        <f>SUM(H8:H301)</f>
        <v>78156.503783783803</v>
      </c>
      <c r="I302" s="287">
        <f>SUM(I8:I301)</f>
        <v>-8356790</v>
      </c>
      <c r="J302" s="262"/>
      <c r="K302" s="255">
        <f>SUM(K8:K301)</f>
        <v>91542</v>
      </c>
      <c r="L302" s="258" t="s">
        <v>26</v>
      </c>
      <c r="M302" s="292" t="s">
        <v>26</v>
      </c>
      <c r="N302" s="287">
        <f>SUM(N8:N301)</f>
        <v>-15183880</v>
      </c>
      <c r="O302" s="262"/>
      <c r="P302" s="259">
        <f>SUM(P8:P301)</f>
        <v>95192</v>
      </c>
      <c r="Q302" s="259">
        <f t="shared" ref="Q302:V302" si="65">SUM(Q8:Q301)</f>
        <v>19300</v>
      </c>
      <c r="R302" s="255">
        <f t="shared" si="65"/>
        <v>98086.999999999971</v>
      </c>
      <c r="S302" s="293" t="s">
        <v>26</v>
      </c>
      <c r="T302" s="255">
        <f t="shared" si="65"/>
        <v>117704.39999999995</v>
      </c>
      <c r="U302" s="255">
        <f t="shared" si="65"/>
        <v>1393.3536809815992</v>
      </c>
      <c r="V302" s="287">
        <f t="shared" si="65"/>
        <v>-5959307</v>
      </c>
      <c r="W302" s="241"/>
      <c r="X302" s="255">
        <f>SUM(X8:X301)</f>
        <v>-3573858.1038575661</v>
      </c>
      <c r="Y302" s="259">
        <f>SUM(Y8:Y301)</f>
        <v>-2385448.8961424343</v>
      </c>
    </row>
    <row r="303" spans="1:25" x14ac:dyDescent="0.25">
      <c r="D303" s="9"/>
      <c r="I303" s="358">
        <f>I302/C3</f>
        <v>0.28328123781249048</v>
      </c>
      <c r="J303" s="359"/>
      <c r="K303" s="360"/>
      <c r="L303" s="360"/>
      <c r="M303" s="360"/>
      <c r="N303" s="361">
        <f>N302/C3</f>
        <v>0.51470819790808653</v>
      </c>
      <c r="O303" s="360"/>
      <c r="P303" s="360"/>
      <c r="Q303" s="360"/>
      <c r="R303" s="360"/>
      <c r="S303" s="360"/>
      <c r="T303" s="360"/>
      <c r="U303" s="360"/>
      <c r="V303" s="361">
        <f>V302/C3</f>
        <v>0.20201056427942299</v>
      </c>
    </row>
  </sheetData>
  <sheetProtection sheet="1" objects="1" scenarios="1"/>
  <mergeCells count="28">
    <mergeCell ref="R6:R7"/>
    <mergeCell ref="S6:S7"/>
    <mergeCell ref="T6:T7"/>
    <mergeCell ref="P3:T5"/>
    <mergeCell ref="W6:W7"/>
    <mergeCell ref="X6:X7"/>
    <mergeCell ref="Y6:Y7"/>
    <mergeCell ref="A3:B4"/>
    <mergeCell ref="C3:C4"/>
    <mergeCell ref="N3:N4"/>
    <mergeCell ref="E3:G5"/>
    <mergeCell ref="K3:L5"/>
    <mergeCell ref="N6:N7"/>
    <mergeCell ref="M6:M7"/>
    <mergeCell ref="K6:K7"/>
    <mergeCell ref="L6:L7"/>
    <mergeCell ref="H6:H7"/>
    <mergeCell ref="U6:U7"/>
    <mergeCell ref="V6:V7"/>
    <mergeCell ref="I6:I7"/>
    <mergeCell ref="M3:M4"/>
    <mergeCell ref="A302:B302"/>
    <mergeCell ref="B6:B7"/>
    <mergeCell ref="A6:A7"/>
    <mergeCell ref="F6:F7"/>
    <mergeCell ref="G6:G7"/>
    <mergeCell ref="C6:C7"/>
    <mergeCell ref="E6:E7"/>
  </mergeCells>
  <hyperlinks>
    <hyperlink ref="F1" location="Ressources!A1" display="← Précédent" xr:uid="{02BB707F-C9CA-441A-B7A7-891508CBE08A}"/>
    <hyperlink ref="G1" location="'Table des matières'!A1" display="Table des matières" xr:uid="{A3A856DB-D915-432D-B45A-BBEABF66BF4F}"/>
    <hyperlink ref="H1" location="'Charges des villes'!A1" display="Suivant →" xr:uid="{F4487309-89F7-4E9B-B8BA-D8524B4DD298}"/>
  </hyperlinks>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9C26F-CB95-489F-82AB-C99617D0D8CE}">
  <sheetPr codeName="Feuil10">
    <tabColor theme="9" tint="0.79998168889431442"/>
    <pageSetUpPr autoPageBreaks="0"/>
  </sheetPr>
  <dimension ref="A1:U302"/>
  <sheetViews>
    <sheetView zoomScale="90" zoomScaleNormal="90" workbookViewId="0">
      <pane ySplit="7" topLeftCell="A8" activePane="bottomLeft" state="frozen"/>
      <selection pane="bottomLeft"/>
    </sheetView>
  </sheetViews>
  <sheetFormatPr baseColWidth="10" defaultRowHeight="15" x14ac:dyDescent="0.25"/>
  <cols>
    <col min="1" max="1" width="7.140625" style="4" customWidth="1"/>
    <col min="2" max="2" width="26.7109375" style="4" customWidth="1"/>
    <col min="3" max="3" width="13.85546875" style="4" customWidth="1"/>
    <col min="4" max="10" width="11.7109375" style="4" customWidth="1"/>
    <col min="11" max="11" width="2.85546875" style="4" customWidth="1"/>
    <col min="12" max="13" width="15.7109375" style="4" customWidth="1"/>
    <col min="14" max="14" width="14.140625" style="4" customWidth="1"/>
    <col min="15" max="15" width="2.85546875" style="4" customWidth="1"/>
    <col min="16" max="17" width="13.7109375" style="4" customWidth="1"/>
    <col min="18" max="18" width="14.85546875" style="4" customWidth="1"/>
    <col min="19" max="21" width="14.140625" style="4" customWidth="1"/>
    <col min="22" max="16384" width="11.42578125" style="4"/>
  </cols>
  <sheetData>
    <row r="1" spans="1:21" ht="26.25" x14ac:dyDescent="0.25">
      <c r="A1" s="8" t="s">
        <v>427</v>
      </c>
      <c r="G1" s="95" t="s">
        <v>441</v>
      </c>
      <c r="H1" s="97" t="s">
        <v>442</v>
      </c>
      <c r="I1" s="98" t="s">
        <v>443</v>
      </c>
      <c r="J1" s="83"/>
      <c r="O1" s="29"/>
      <c r="S1" s="362"/>
    </row>
    <row r="2" spans="1:21" ht="15" customHeight="1" x14ac:dyDescent="0.25">
      <c r="A2" s="46" t="str">
        <f>_xlfn.CONCAT(Paramètres!M5," ",Paramètres!N5)</f>
        <v>Décompte prévisionnel 2027</v>
      </c>
      <c r="B2" s="26"/>
      <c r="K2" s="6"/>
    </row>
    <row r="3" spans="1:21" ht="15" customHeight="1" x14ac:dyDescent="0.25">
      <c r="A3" s="26"/>
      <c r="B3" s="26"/>
      <c r="C3" s="562" t="s">
        <v>50</v>
      </c>
      <c r="D3" s="563"/>
      <c r="E3" s="563"/>
      <c r="F3" s="563"/>
      <c r="G3" s="563"/>
      <c r="H3" s="563"/>
      <c r="I3" s="563"/>
      <c r="J3" s="564"/>
      <c r="K3" s="18"/>
      <c r="L3" s="565" t="s">
        <v>29</v>
      </c>
      <c r="M3" s="566"/>
      <c r="N3" s="567"/>
      <c r="P3" s="511" t="s">
        <v>423</v>
      </c>
      <c r="Q3" s="512"/>
      <c r="R3" s="512"/>
      <c r="S3" s="512"/>
      <c r="T3" s="512"/>
      <c r="U3" s="513"/>
    </row>
    <row r="4" spans="1:21" ht="15" customHeight="1" x14ac:dyDescent="0.25">
      <c r="A4" s="26"/>
      <c r="B4" s="26"/>
      <c r="C4" s="199" t="s">
        <v>22</v>
      </c>
      <c r="D4" s="151">
        <f>Paramètres!N9</f>
        <v>0</v>
      </c>
      <c r="E4" s="151">
        <f>Paramètres!O9</f>
        <v>1000</v>
      </c>
      <c r="F4" s="151">
        <f>Paramètres!P9</f>
        <v>3000</v>
      </c>
      <c r="G4" s="151">
        <f>Paramètres!R9</f>
        <v>12000</v>
      </c>
      <c r="H4" s="151">
        <f>Paramètres!S9</f>
        <v>15000</v>
      </c>
      <c r="I4" s="151">
        <f>Paramètres!T9</f>
        <v>30000</v>
      </c>
      <c r="J4" s="151">
        <f>Paramètres!U9</f>
        <v>45000</v>
      </c>
      <c r="K4" s="14"/>
      <c r="L4" s="568"/>
      <c r="M4" s="569"/>
      <c r="N4" s="570"/>
      <c r="P4" s="523"/>
      <c r="Q4" s="524"/>
      <c r="R4" s="524"/>
      <c r="S4" s="524"/>
      <c r="T4" s="524"/>
      <c r="U4" s="525"/>
    </row>
    <row r="5" spans="1:21" ht="15" customHeight="1" x14ac:dyDescent="0.25">
      <c r="A5" s="26"/>
      <c r="B5" s="26"/>
      <c r="C5" s="200" t="s">
        <v>23</v>
      </c>
      <c r="D5" s="151">
        <f>Paramètres!N10</f>
        <v>1000</v>
      </c>
      <c r="E5" s="151">
        <f>Paramètres!O10</f>
        <v>3000</v>
      </c>
      <c r="F5" s="151">
        <f>Paramètres!Q10</f>
        <v>12000</v>
      </c>
      <c r="G5" s="151">
        <f>Paramètres!R10</f>
        <v>15000</v>
      </c>
      <c r="H5" s="151">
        <f>Paramètres!S10</f>
        <v>30000</v>
      </c>
      <c r="I5" s="151">
        <f>Paramètres!T10</f>
        <v>45000</v>
      </c>
      <c r="J5" s="151" t="str">
        <f>Paramètres!U10</f>
        <v/>
      </c>
      <c r="K5" s="14"/>
      <c r="L5" s="452" t="s">
        <v>25</v>
      </c>
      <c r="M5" s="453"/>
      <c r="N5" s="72" t="s">
        <v>440</v>
      </c>
      <c r="P5" s="571" t="s">
        <v>418</v>
      </c>
      <c r="Q5" s="572"/>
      <c r="R5" s="572" t="s">
        <v>25</v>
      </c>
      <c r="S5" s="572"/>
      <c r="T5" s="575"/>
      <c r="U5" s="72" t="s">
        <v>440</v>
      </c>
    </row>
    <row r="6" spans="1:21" ht="15" customHeight="1" x14ac:dyDescent="0.25">
      <c r="C6" s="201" t="s">
        <v>51</v>
      </c>
      <c r="D6" s="152">
        <f>Paramètres!N12</f>
        <v>133.65479723046488</v>
      </c>
      <c r="E6" s="152">
        <f>Paramètres!O12</f>
        <v>374.23343224530169</v>
      </c>
      <c r="F6" s="152">
        <f>Paramètres!P12</f>
        <v>668.27398615232448</v>
      </c>
      <c r="G6" s="152">
        <f>Paramètres!R12</f>
        <v>1069.238377843719</v>
      </c>
      <c r="H6" s="152">
        <f>Paramètres!S12</f>
        <v>1122.7002967359051</v>
      </c>
      <c r="I6" s="152">
        <f>Paramètres!T12</f>
        <v>1176.162215628091</v>
      </c>
      <c r="J6" s="153">
        <f>Paramètres!U12</f>
        <v>1229.6241345202768</v>
      </c>
      <c r="K6" s="49"/>
      <c r="L6" s="318">
        <f>L302</f>
        <v>-519580377.86844665</v>
      </c>
      <c r="M6" s="318">
        <f>M302</f>
        <v>519580377.86844718</v>
      </c>
      <c r="N6" s="68" t="str">
        <f>IF(ROUND(N302,5)=0,"OK","ERREUR")</f>
        <v>OK</v>
      </c>
      <c r="O6" s="29"/>
      <c r="P6" s="573">
        <f>Paramètres!U5</f>
        <v>0.6</v>
      </c>
      <c r="Q6" s="574"/>
      <c r="R6" s="318">
        <f>R302</f>
        <v>145703794.98685911</v>
      </c>
      <c r="S6" s="318">
        <f>S302</f>
        <v>-87422276.992115468</v>
      </c>
      <c r="T6" s="318">
        <f>-S302</f>
        <v>87422276.992115468</v>
      </c>
      <c r="U6" s="68" t="str">
        <f>IF(ROUND(U302,5)=0,"OK","ERREUR")</f>
        <v>OK</v>
      </c>
    </row>
    <row r="7" spans="1:21" s="6" customFormat="1" ht="37.5" customHeight="1" x14ac:dyDescent="0.25">
      <c r="A7" s="198" t="s">
        <v>0</v>
      </c>
      <c r="B7" s="198" t="s">
        <v>1</v>
      </c>
      <c r="C7" s="178" t="s">
        <v>29</v>
      </c>
      <c r="D7" s="559" t="s">
        <v>516</v>
      </c>
      <c r="E7" s="560"/>
      <c r="F7" s="560"/>
      <c r="G7" s="560"/>
      <c r="H7" s="560"/>
      <c r="I7" s="560"/>
      <c r="J7" s="561"/>
      <c r="K7" s="5"/>
      <c r="L7" s="195" t="s">
        <v>13</v>
      </c>
      <c r="M7" s="186" t="s">
        <v>14</v>
      </c>
      <c r="N7" s="195" t="s">
        <v>12</v>
      </c>
      <c r="O7" s="14"/>
      <c r="P7" s="186" t="str">
        <f>CONCATENATE("Déficit selon budget ",Paramètres!O5)</f>
        <v>Déficit selon budget 2025</v>
      </c>
      <c r="Q7" s="186" t="str">
        <f>CONCATENATE("Solde du déficit ",Paramètres!O5-1)</f>
        <v>Solde du déficit 2024</v>
      </c>
      <c r="R7" s="186" t="s">
        <v>533</v>
      </c>
      <c r="S7" s="186" t="s">
        <v>13</v>
      </c>
      <c r="T7" s="186" t="s">
        <v>14</v>
      </c>
      <c r="U7" s="186" t="s">
        <v>12</v>
      </c>
    </row>
    <row r="8" spans="1:21" x14ac:dyDescent="0.25">
      <c r="A8" s="154">
        <f>Données!A8</f>
        <v>5401</v>
      </c>
      <c r="B8" s="155" t="str">
        <f>Données!B8</f>
        <v>Aigle</v>
      </c>
      <c r="C8" s="294">
        <f>Données!C8</f>
        <v>12081</v>
      </c>
      <c r="D8" s="295">
        <f t="shared" ref="D8:D69" si="0">IF(C8&gt;$D$5,$D$5-$D$4,C8)</f>
        <v>1000</v>
      </c>
      <c r="E8" s="295">
        <f t="shared" ref="E8:I8" si="1">IF($C8&lt;E$4,0,IF($C8&gt;E$5,E$5-E$4,$C8-E$4))</f>
        <v>2000</v>
      </c>
      <c r="F8" s="296">
        <f t="shared" si="1"/>
        <v>9000</v>
      </c>
      <c r="G8" s="297">
        <f t="shared" si="1"/>
        <v>81</v>
      </c>
      <c r="H8" s="295">
        <f t="shared" si="1"/>
        <v>0</v>
      </c>
      <c r="I8" s="296">
        <f t="shared" si="1"/>
        <v>0</v>
      </c>
      <c r="J8" s="298">
        <f t="shared" ref="J8:J69" si="2">IF($C8&lt;J$4,0,$C8-J$4)</f>
        <v>0</v>
      </c>
      <c r="K8" s="299"/>
      <c r="L8" s="300">
        <f t="shared" ref="L8:L69" si="3">-SUMPRODUCT($D$6:$J$6,D8:J8)</f>
        <v>-6983195.8456973303</v>
      </c>
      <c r="M8" s="296">
        <f t="shared" ref="M8:M71" si="4">(-$L$6)/($C$302)*C8</f>
        <v>7263204.9313821895</v>
      </c>
      <c r="N8" s="301">
        <f t="shared" ref="N8:N69" si="5">SUM(L8:M8)</f>
        <v>280009.08568485919</v>
      </c>
      <c r="O8" s="299"/>
      <c r="P8" s="302">
        <f>Données!AC8</f>
        <v>1722406</v>
      </c>
      <c r="Q8" s="294">
        <f>Données!AD8</f>
        <v>-71875</v>
      </c>
      <c r="R8" s="297">
        <f>SUM(P8:Q8)</f>
        <v>1650531</v>
      </c>
      <c r="S8" s="296">
        <f>-R8*$P$6</f>
        <v>-990318.6</v>
      </c>
      <c r="T8" s="297">
        <f t="shared" ref="T8:T71" si="6">-$S$6/$C$302*C8</f>
        <v>1222074.4670280076</v>
      </c>
      <c r="U8" s="303">
        <f t="shared" ref="U8:U69" si="7">S8+T8</f>
        <v>231755.86702800763</v>
      </c>
    </row>
    <row r="9" spans="1:21" ht="15" customHeight="1" x14ac:dyDescent="0.25">
      <c r="A9" s="156">
        <f>Données!A9</f>
        <v>5402</v>
      </c>
      <c r="B9" s="157" t="str">
        <f>Données!B9</f>
        <v>Bex</v>
      </c>
      <c r="C9" s="304">
        <f>Données!C9</f>
        <v>8923</v>
      </c>
      <c r="D9" s="300">
        <f t="shared" si="0"/>
        <v>1000</v>
      </c>
      <c r="E9" s="300">
        <f t="shared" ref="E9:E70" si="8">IF(C9&lt;$E$4,0,IF(C9&gt;$E$5,$E$5-$E$4,C9-$E$4))</f>
        <v>2000</v>
      </c>
      <c r="F9" s="305">
        <f t="shared" ref="F9:I18" si="9">IF($C9&lt;F$4,0,IF($C9&gt;F$5,F$5-F$4,$C9-F$4))</f>
        <v>5923</v>
      </c>
      <c r="G9" s="299">
        <f t="shared" si="9"/>
        <v>0</v>
      </c>
      <c r="H9" s="300">
        <f t="shared" si="9"/>
        <v>0</v>
      </c>
      <c r="I9" s="305">
        <f t="shared" si="9"/>
        <v>0</v>
      </c>
      <c r="J9" s="306">
        <f t="shared" si="2"/>
        <v>0</v>
      </c>
      <c r="K9" s="299"/>
      <c r="L9" s="300">
        <f t="shared" si="3"/>
        <v>-4840308.4817012865</v>
      </c>
      <c r="M9" s="305">
        <f t="shared" si="4"/>
        <v>5364587.1701616822</v>
      </c>
      <c r="N9" s="307">
        <f t="shared" si="5"/>
        <v>524278.68846039567</v>
      </c>
      <c r="O9" s="299"/>
      <c r="P9" s="308">
        <f>Données!AC9</f>
        <v>814008</v>
      </c>
      <c r="Q9" s="304">
        <f>Données!AD9</f>
        <v>-33729</v>
      </c>
      <c r="R9" s="299">
        <f t="shared" ref="R9:R70" si="10">SUM(P9:Q9)</f>
        <v>780279</v>
      </c>
      <c r="S9" s="305">
        <f t="shared" ref="S9:S70" si="11">-R9*$P$6</f>
        <v>-468167.39999999997</v>
      </c>
      <c r="T9" s="299">
        <f t="shared" si="6"/>
        <v>902621.51057784224</v>
      </c>
      <c r="U9" s="309">
        <f t="shared" si="7"/>
        <v>434454.11057784228</v>
      </c>
    </row>
    <row r="10" spans="1:21" x14ac:dyDescent="0.25">
      <c r="A10" s="156">
        <f>Données!A10</f>
        <v>5403</v>
      </c>
      <c r="B10" s="157" t="str">
        <f>Données!B10</f>
        <v>Chessel</v>
      </c>
      <c r="C10" s="304">
        <f>Données!C10</f>
        <v>525</v>
      </c>
      <c r="D10" s="300">
        <f t="shared" si="0"/>
        <v>525</v>
      </c>
      <c r="E10" s="300">
        <f t="shared" si="8"/>
        <v>0</v>
      </c>
      <c r="F10" s="305">
        <f t="shared" si="9"/>
        <v>0</v>
      </c>
      <c r="G10" s="299">
        <f t="shared" si="9"/>
        <v>0</v>
      </c>
      <c r="H10" s="300">
        <f t="shared" si="9"/>
        <v>0</v>
      </c>
      <c r="I10" s="305">
        <f t="shared" si="9"/>
        <v>0</v>
      </c>
      <c r="J10" s="306">
        <f t="shared" si="2"/>
        <v>0</v>
      </c>
      <c r="K10" s="299"/>
      <c r="L10" s="300">
        <f t="shared" si="3"/>
        <v>-70168.768545994055</v>
      </c>
      <c r="M10" s="305">
        <f t="shared" si="4"/>
        <v>315634.6816468545</v>
      </c>
      <c r="N10" s="307">
        <f t="shared" si="5"/>
        <v>245465.91310086043</v>
      </c>
      <c r="O10" s="299"/>
      <c r="P10" s="308" t="str">
        <f>Données!AC10</f>
        <v/>
      </c>
      <c r="Q10" s="304" t="str">
        <f>Données!AD10</f>
        <v/>
      </c>
      <c r="R10" s="299">
        <f t="shared" si="10"/>
        <v>0</v>
      </c>
      <c r="S10" s="305">
        <f t="shared" si="11"/>
        <v>0</v>
      </c>
      <c r="T10" s="299">
        <f t="shared" si="6"/>
        <v>53107.283767047767</v>
      </c>
      <c r="U10" s="309">
        <f t="shared" si="7"/>
        <v>53107.283767047767</v>
      </c>
    </row>
    <row r="11" spans="1:21" x14ac:dyDescent="0.25">
      <c r="A11" s="156">
        <f>Données!A11</f>
        <v>5404</v>
      </c>
      <c r="B11" s="157" t="str">
        <f>Données!B11</f>
        <v>Corbeyrier</v>
      </c>
      <c r="C11" s="304">
        <f>Données!C11</f>
        <v>456</v>
      </c>
      <c r="D11" s="300">
        <f t="shared" si="0"/>
        <v>456</v>
      </c>
      <c r="E11" s="300">
        <f t="shared" si="8"/>
        <v>0</v>
      </c>
      <c r="F11" s="305">
        <f t="shared" si="9"/>
        <v>0</v>
      </c>
      <c r="G11" s="299">
        <f t="shared" si="9"/>
        <v>0</v>
      </c>
      <c r="H11" s="300">
        <f t="shared" si="9"/>
        <v>0</v>
      </c>
      <c r="I11" s="305">
        <f t="shared" si="9"/>
        <v>0</v>
      </c>
      <c r="J11" s="306">
        <f t="shared" si="2"/>
        <v>0</v>
      </c>
      <c r="K11" s="299"/>
      <c r="L11" s="300">
        <f t="shared" si="3"/>
        <v>-60946.587537091982</v>
      </c>
      <c r="M11" s="305">
        <f t="shared" si="4"/>
        <v>274151.26634469652</v>
      </c>
      <c r="N11" s="307">
        <f t="shared" si="5"/>
        <v>213204.67880760453</v>
      </c>
      <c r="O11" s="299"/>
      <c r="P11" s="308" t="str">
        <f>Données!AC11</f>
        <v/>
      </c>
      <c r="Q11" s="304" t="str">
        <f>Données!AD11</f>
        <v/>
      </c>
      <c r="R11" s="299">
        <f t="shared" si="10"/>
        <v>0</v>
      </c>
      <c r="S11" s="305">
        <f t="shared" si="11"/>
        <v>0</v>
      </c>
      <c r="T11" s="299">
        <f t="shared" si="6"/>
        <v>46127.469329092914</v>
      </c>
      <c r="U11" s="309">
        <f t="shared" si="7"/>
        <v>46127.469329092914</v>
      </c>
    </row>
    <row r="12" spans="1:21" x14ac:dyDescent="0.25">
      <c r="A12" s="156">
        <f>Données!A12</f>
        <v>5405</v>
      </c>
      <c r="B12" s="157" t="str">
        <f>Données!B12</f>
        <v>Gryon</v>
      </c>
      <c r="C12" s="304">
        <f>Données!C12</f>
        <v>1546</v>
      </c>
      <c r="D12" s="300">
        <f t="shared" si="0"/>
        <v>1000</v>
      </c>
      <c r="E12" s="300">
        <f t="shared" si="8"/>
        <v>546</v>
      </c>
      <c r="F12" s="305">
        <f t="shared" si="9"/>
        <v>0</v>
      </c>
      <c r="G12" s="299">
        <f t="shared" si="9"/>
        <v>0</v>
      </c>
      <c r="H12" s="300">
        <f t="shared" si="9"/>
        <v>0</v>
      </c>
      <c r="I12" s="305">
        <f t="shared" si="9"/>
        <v>0</v>
      </c>
      <c r="J12" s="306">
        <f t="shared" si="2"/>
        <v>0</v>
      </c>
      <c r="K12" s="299"/>
      <c r="L12" s="300">
        <f t="shared" si="3"/>
        <v>-337986.25123639964</v>
      </c>
      <c r="M12" s="305">
        <f t="shared" si="4"/>
        <v>929468.98633530876</v>
      </c>
      <c r="N12" s="307">
        <f t="shared" si="5"/>
        <v>591482.73509890912</v>
      </c>
      <c r="O12" s="299"/>
      <c r="P12" s="308">
        <f>Données!AC12</f>
        <v>203681</v>
      </c>
      <c r="Q12" s="304">
        <f>Données!AD12</f>
        <v>0</v>
      </c>
      <c r="R12" s="299">
        <f t="shared" si="10"/>
        <v>203681</v>
      </c>
      <c r="S12" s="305">
        <f t="shared" si="11"/>
        <v>-122208.59999999999</v>
      </c>
      <c r="T12" s="299">
        <f t="shared" si="6"/>
        <v>156388.30610258257</v>
      </c>
      <c r="U12" s="309">
        <f t="shared" si="7"/>
        <v>34179.706102582582</v>
      </c>
    </row>
    <row r="13" spans="1:21" x14ac:dyDescent="0.25">
      <c r="A13" s="156">
        <f>Données!A13</f>
        <v>5406</v>
      </c>
      <c r="B13" s="157" t="str">
        <f>Données!B13</f>
        <v>Lavey-Morcles</v>
      </c>
      <c r="C13" s="304">
        <f>Données!C13</f>
        <v>1024</v>
      </c>
      <c r="D13" s="300">
        <f t="shared" si="0"/>
        <v>1000</v>
      </c>
      <c r="E13" s="300">
        <f t="shared" si="8"/>
        <v>24</v>
      </c>
      <c r="F13" s="305">
        <f t="shared" si="9"/>
        <v>0</v>
      </c>
      <c r="G13" s="299">
        <f t="shared" si="9"/>
        <v>0</v>
      </c>
      <c r="H13" s="300">
        <f t="shared" si="9"/>
        <v>0</v>
      </c>
      <c r="I13" s="305">
        <f t="shared" si="9"/>
        <v>0</v>
      </c>
      <c r="J13" s="306">
        <f t="shared" si="2"/>
        <v>0</v>
      </c>
      <c r="K13" s="299"/>
      <c r="L13" s="300">
        <f t="shared" si="3"/>
        <v>-142636.3996043521</v>
      </c>
      <c r="M13" s="305">
        <f t="shared" si="4"/>
        <v>615637.93144072196</v>
      </c>
      <c r="N13" s="307">
        <f t="shared" si="5"/>
        <v>473001.53183636989</v>
      </c>
      <c r="O13" s="299"/>
      <c r="P13" s="308" t="str">
        <f>Données!AC13</f>
        <v/>
      </c>
      <c r="Q13" s="304" t="str">
        <f>Données!AD13</f>
        <v/>
      </c>
      <c r="R13" s="299">
        <f t="shared" si="10"/>
        <v>0</v>
      </c>
      <c r="S13" s="305">
        <f t="shared" si="11"/>
        <v>0</v>
      </c>
      <c r="T13" s="299">
        <f t="shared" si="6"/>
        <v>103584.49252848935</v>
      </c>
      <c r="U13" s="309">
        <f t="shared" si="7"/>
        <v>103584.49252848935</v>
      </c>
    </row>
    <row r="14" spans="1:21" x14ac:dyDescent="0.25">
      <c r="A14" s="156">
        <f>Données!A14</f>
        <v>5407</v>
      </c>
      <c r="B14" s="157" t="str">
        <f>Données!B14</f>
        <v>Leysin</v>
      </c>
      <c r="C14" s="304">
        <f>Données!C14</f>
        <v>3722</v>
      </c>
      <c r="D14" s="300">
        <f t="shared" si="0"/>
        <v>1000</v>
      </c>
      <c r="E14" s="300">
        <f t="shared" si="8"/>
        <v>2000</v>
      </c>
      <c r="F14" s="305">
        <f t="shared" si="9"/>
        <v>722</v>
      </c>
      <c r="G14" s="299">
        <f t="shared" si="9"/>
        <v>0</v>
      </c>
      <c r="H14" s="300">
        <f t="shared" si="9"/>
        <v>0</v>
      </c>
      <c r="I14" s="305">
        <f t="shared" si="9"/>
        <v>0</v>
      </c>
      <c r="J14" s="306">
        <f t="shared" si="2"/>
        <v>0</v>
      </c>
      <c r="K14" s="299"/>
      <c r="L14" s="300">
        <f t="shared" si="3"/>
        <v>-1364615.4797230465</v>
      </c>
      <c r="M14" s="305">
        <f t="shared" si="4"/>
        <v>2237699.590646843</v>
      </c>
      <c r="N14" s="307">
        <f t="shared" si="5"/>
        <v>873084.11092379643</v>
      </c>
      <c r="O14" s="299"/>
      <c r="P14" s="308" t="str">
        <f>Données!AC14</f>
        <v/>
      </c>
      <c r="Q14" s="304" t="str">
        <f>Données!AD14</f>
        <v/>
      </c>
      <c r="R14" s="299">
        <f t="shared" si="10"/>
        <v>0</v>
      </c>
      <c r="S14" s="305">
        <f t="shared" si="11"/>
        <v>0</v>
      </c>
      <c r="T14" s="299">
        <f t="shared" si="6"/>
        <v>376505.35272562242</v>
      </c>
      <c r="U14" s="309">
        <f t="shared" si="7"/>
        <v>376505.35272562242</v>
      </c>
    </row>
    <row r="15" spans="1:21" x14ac:dyDescent="0.25">
      <c r="A15" s="156">
        <f>Données!A15</f>
        <v>5408</v>
      </c>
      <c r="B15" s="157" t="str">
        <f>Données!B15</f>
        <v>Noville</v>
      </c>
      <c r="C15" s="304">
        <f>Données!C15</f>
        <v>1214</v>
      </c>
      <c r="D15" s="300">
        <f t="shared" si="0"/>
        <v>1000</v>
      </c>
      <c r="E15" s="300">
        <f t="shared" si="8"/>
        <v>214</v>
      </c>
      <c r="F15" s="305">
        <f t="shared" si="9"/>
        <v>0</v>
      </c>
      <c r="G15" s="299">
        <f t="shared" si="9"/>
        <v>0</v>
      </c>
      <c r="H15" s="300">
        <f t="shared" si="9"/>
        <v>0</v>
      </c>
      <c r="I15" s="305">
        <f t="shared" si="9"/>
        <v>0</v>
      </c>
      <c r="J15" s="306">
        <f t="shared" si="2"/>
        <v>0</v>
      </c>
      <c r="K15" s="299"/>
      <c r="L15" s="300">
        <f t="shared" si="3"/>
        <v>-213740.75173095943</v>
      </c>
      <c r="M15" s="305">
        <f t="shared" si="4"/>
        <v>729867.62575101212</v>
      </c>
      <c r="N15" s="307">
        <f t="shared" si="5"/>
        <v>516126.87402005272</v>
      </c>
      <c r="O15" s="299"/>
      <c r="P15" s="308" t="str">
        <f>Données!AC15</f>
        <v/>
      </c>
      <c r="Q15" s="304" t="str">
        <f>Données!AD15</f>
        <v/>
      </c>
      <c r="R15" s="299">
        <f t="shared" si="10"/>
        <v>0</v>
      </c>
      <c r="S15" s="305">
        <f t="shared" si="11"/>
        <v>0</v>
      </c>
      <c r="T15" s="299">
        <f t="shared" si="6"/>
        <v>122804.27141561141</v>
      </c>
      <c r="U15" s="309">
        <f t="shared" si="7"/>
        <v>122804.27141561141</v>
      </c>
    </row>
    <row r="16" spans="1:21" x14ac:dyDescent="0.25">
      <c r="A16" s="156">
        <f>Données!A16</f>
        <v>5409</v>
      </c>
      <c r="B16" s="157" t="str">
        <f>Données!B16</f>
        <v>Ollon</v>
      </c>
      <c r="C16" s="304">
        <f>Données!C16</f>
        <v>8302</v>
      </c>
      <c r="D16" s="300">
        <f t="shared" si="0"/>
        <v>1000</v>
      </c>
      <c r="E16" s="300">
        <f t="shared" si="8"/>
        <v>2000</v>
      </c>
      <c r="F16" s="305">
        <f t="shared" si="9"/>
        <v>5302</v>
      </c>
      <c r="G16" s="299">
        <f t="shared" si="9"/>
        <v>0</v>
      </c>
      <c r="H16" s="300">
        <f t="shared" si="9"/>
        <v>0</v>
      </c>
      <c r="I16" s="305">
        <f t="shared" si="9"/>
        <v>0</v>
      </c>
      <c r="J16" s="306">
        <f t="shared" si="2"/>
        <v>0</v>
      </c>
      <c r="K16" s="299"/>
      <c r="L16" s="300">
        <f t="shared" si="3"/>
        <v>-4425310.3363006925</v>
      </c>
      <c r="M16" s="305">
        <f t="shared" si="4"/>
        <v>4991236.43244226</v>
      </c>
      <c r="N16" s="307">
        <f t="shared" si="5"/>
        <v>565926.09614156745</v>
      </c>
      <c r="O16" s="299"/>
      <c r="P16" s="308">
        <f>Données!AC16</f>
        <v>1112984</v>
      </c>
      <c r="Q16" s="304">
        <f>Données!AD16</f>
        <v>-39350</v>
      </c>
      <c r="R16" s="299">
        <f t="shared" si="10"/>
        <v>1073634</v>
      </c>
      <c r="S16" s="305">
        <f t="shared" si="11"/>
        <v>-644180.4</v>
      </c>
      <c r="T16" s="299">
        <f t="shared" si="6"/>
        <v>839803.18063624867</v>
      </c>
      <c r="U16" s="309">
        <f t="shared" si="7"/>
        <v>195622.78063624864</v>
      </c>
    </row>
    <row r="17" spans="1:21" x14ac:dyDescent="0.25">
      <c r="A17" s="156">
        <f>Données!A17</f>
        <v>5410</v>
      </c>
      <c r="B17" s="157" t="str">
        <f>Données!B17</f>
        <v>Ormont-Dessous</v>
      </c>
      <c r="C17" s="304">
        <f>Données!C17</f>
        <v>1261</v>
      </c>
      <c r="D17" s="300">
        <f t="shared" si="0"/>
        <v>1000</v>
      </c>
      <c r="E17" s="300">
        <f t="shared" si="8"/>
        <v>261</v>
      </c>
      <c r="F17" s="305">
        <f t="shared" si="9"/>
        <v>0</v>
      </c>
      <c r="G17" s="299">
        <f t="shared" si="9"/>
        <v>0</v>
      </c>
      <c r="H17" s="300">
        <f t="shared" si="9"/>
        <v>0</v>
      </c>
      <c r="I17" s="305">
        <f t="shared" si="9"/>
        <v>0</v>
      </c>
      <c r="J17" s="306">
        <f t="shared" si="2"/>
        <v>0</v>
      </c>
      <c r="K17" s="299"/>
      <c r="L17" s="300">
        <f t="shared" si="3"/>
        <v>-231329.72304648859</v>
      </c>
      <c r="M17" s="305">
        <f t="shared" si="4"/>
        <v>758124.44486987346</v>
      </c>
      <c r="N17" s="307">
        <f t="shared" si="5"/>
        <v>526794.72182338487</v>
      </c>
      <c r="O17" s="299"/>
      <c r="P17" s="308" t="str">
        <f>Données!AC17</f>
        <v/>
      </c>
      <c r="Q17" s="304" t="str">
        <f>Données!AD17</f>
        <v/>
      </c>
      <c r="R17" s="299">
        <f t="shared" si="10"/>
        <v>0</v>
      </c>
      <c r="S17" s="305">
        <f t="shared" si="11"/>
        <v>0</v>
      </c>
      <c r="T17" s="299">
        <f t="shared" si="6"/>
        <v>127558.63777189949</v>
      </c>
      <c r="U17" s="309">
        <f t="shared" si="7"/>
        <v>127558.63777189949</v>
      </c>
    </row>
    <row r="18" spans="1:21" x14ac:dyDescent="0.25">
      <c r="A18" s="156">
        <f>Données!A18</f>
        <v>5411</v>
      </c>
      <c r="B18" s="157" t="str">
        <f>Données!B18</f>
        <v>Ormont-Dessus</v>
      </c>
      <c r="C18" s="304">
        <f>Données!C18</f>
        <v>1440</v>
      </c>
      <c r="D18" s="300">
        <f t="shared" si="0"/>
        <v>1000</v>
      </c>
      <c r="E18" s="300">
        <f t="shared" si="8"/>
        <v>440</v>
      </c>
      <c r="F18" s="305">
        <f t="shared" si="9"/>
        <v>0</v>
      </c>
      <c r="G18" s="299">
        <f t="shared" si="9"/>
        <v>0</v>
      </c>
      <c r="H18" s="300">
        <f t="shared" si="9"/>
        <v>0</v>
      </c>
      <c r="I18" s="305">
        <f t="shared" si="9"/>
        <v>0</v>
      </c>
      <c r="J18" s="306">
        <f t="shared" si="2"/>
        <v>0</v>
      </c>
      <c r="K18" s="299"/>
      <c r="L18" s="300">
        <f t="shared" si="3"/>
        <v>-298317.50741839758</v>
      </c>
      <c r="M18" s="305">
        <f t="shared" si="4"/>
        <v>865740.84108851524</v>
      </c>
      <c r="N18" s="307">
        <f t="shared" si="5"/>
        <v>567423.33367011766</v>
      </c>
      <c r="O18" s="299"/>
      <c r="P18" s="308" t="str">
        <f>Données!AC18</f>
        <v/>
      </c>
      <c r="Q18" s="304" t="str">
        <f>Données!AD18</f>
        <v/>
      </c>
      <c r="R18" s="299">
        <f t="shared" si="10"/>
        <v>0</v>
      </c>
      <c r="S18" s="305">
        <f t="shared" si="11"/>
        <v>0</v>
      </c>
      <c r="T18" s="299">
        <f t="shared" si="6"/>
        <v>145665.69261818816</v>
      </c>
      <c r="U18" s="309">
        <f t="shared" si="7"/>
        <v>145665.69261818816</v>
      </c>
    </row>
    <row r="19" spans="1:21" x14ac:dyDescent="0.25">
      <c r="A19" s="156">
        <f>Données!A19</f>
        <v>5412</v>
      </c>
      <c r="B19" s="157" t="str">
        <f>Données!B19</f>
        <v>Rennaz</v>
      </c>
      <c r="C19" s="304">
        <f>Données!C19</f>
        <v>935</v>
      </c>
      <c r="D19" s="300">
        <f t="shared" si="0"/>
        <v>935</v>
      </c>
      <c r="E19" s="300">
        <f t="shared" si="8"/>
        <v>0</v>
      </c>
      <c r="F19" s="305">
        <f t="shared" ref="F19:I28" si="12">IF($C19&lt;F$4,0,IF($C19&gt;F$5,F$5-F$4,$C19-F$4))</f>
        <v>0</v>
      </c>
      <c r="G19" s="299">
        <f t="shared" si="12"/>
        <v>0</v>
      </c>
      <c r="H19" s="300">
        <f t="shared" si="12"/>
        <v>0</v>
      </c>
      <c r="I19" s="305">
        <f t="shared" si="12"/>
        <v>0</v>
      </c>
      <c r="J19" s="306">
        <f t="shared" si="2"/>
        <v>0</v>
      </c>
      <c r="K19" s="299"/>
      <c r="L19" s="300">
        <f t="shared" si="3"/>
        <v>-124967.23541048466</v>
      </c>
      <c r="M19" s="305">
        <f t="shared" si="4"/>
        <v>562130.33779011236</v>
      </c>
      <c r="N19" s="307">
        <f t="shared" si="5"/>
        <v>437163.1023796277</v>
      </c>
      <c r="O19" s="299"/>
      <c r="P19" s="308" t="str">
        <f>Données!AC19</f>
        <v/>
      </c>
      <c r="Q19" s="304" t="str">
        <f>Données!AD19</f>
        <v/>
      </c>
      <c r="R19" s="299">
        <f t="shared" si="10"/>
        <v>0</v>
      </c>
      <c r="S19" s="305">
        <f t="shared" si="11"/>
        <v>0</v>
      </c>
      <c r="T19" s="299">
        <f t="shared" si="6"/>
        <v>94581.543470837452</v>
      </c>
      <c r="U19" s="309">
        <f t="shared" si="7"/>
        <v>94581.543470837452</v>
      </c>
    </row>
    <row r="20" spans="1:21" x14ac:dyDescent="0.25">
      <c r="A20" s="156">
        <f>Données!A20</f>
        <v>5413</v>
      </c>
      <c r="B20" s="157" t="str">
        <f>Données!B20</f>
        <v>Roche</v>
      </c>
      <c r="C20" s="304">
        <f>Données!C20</f>
        <v>2035</v>
      </c>
      <c r="D20" s="300">
        <f t="shared" si="0"/>
        <v>1000</v>
      </c>
      <c r="E20" s="300">
        <f t="shared" si="8"/>
        <v>1035</v>
      </c>
      <c r="F20" s="305">
        <f t="shared" si="12"/>
        <v>0</v>
      </c>
      <c r="G20" s="299">
        <f t="shared" si="12"/>
        <v>0</v>
      </c>
      <c r="H20" s="300">
        <f t="shared" si="12"/>
        <v>0</v>
      </c>
      <c r="I20" s="305">
        <f t="shared" si="12"/>
        <v>0</v>
      </c>
      <c r="J20" s="306">
        <f t="shared" si="2"/>
        <v>0</v>
      </c>
      <c r="K20" s="299"/>
      <c r="L20" s="300">
        <f t="shared" si="3"/>
        <v>-520986.39960435213</v>
      </c>
      <c r="M20" s="305">
        <f t="shared" si="4"/>
        <v>1223460.1469549504</v>
      </c>
      <c r="N20" s="307">
        <f t="shared" si="5"/>
        <v>702473.74735059822</v>
      </c>
      <c r="O20" s="299"/>
      <c r="P20" s="308" t="str">
        <f>Données!AC20</f>
        <v/>
      </c>
      <c r="Q20" s="304" t="str">
        <f>Données!AD20</f>
        <v/>
      </c>
      <c r="R20" s="299">
        <f t="shared" si="10"/>
        <v>0</v>
      </c>
      <c r="S20" s="305">
        <f t="shared" si="11"/>
        <v>0</v>
      </c>
      <c r="T20" s="299">
        <f t="shared" si="6"/>
        <v>205853.94755417563</v>
      </c>
      <c r="U20" s="309">
        <f t="shared" si="7"/>
        <v>205853.94755417563</v>
      </c>
    </row>
    <row r="21" spans="1:21" x14ac:dyDescent="0.25">
      <c r="A21" s="156">
        <f>Données!A21</f>
        <v>5414</v>
      </c>
      <c r="B21" s="157" t="str">
        <f>Données!B21</f>
        <v>Villeneuve</v>
      </c>
      <c r="C21" s="304">
        <f>Données!C21</f>
        <v>6073</v>
      </c>
      <c r="D21" s="300">
        <f t="shared" si="0"/>
        <v>1000</v>
      </c>
      <c r="E21" s="300">
        <f t="shared" si="8"/>
        <v>2000</v>
      </c>
      <c r="F21" s="305">
        <f t="shared" si="12"/>
        <v>3073</v>
      </c>
      <c r="G21" s="299">
        <f t="shared" si="12"/>
        <v>0</v>
      </c>
      <c r="H21" s="300">
        <f t="shared" si="12"/>
        <v>0</v>
      </c>
      <c r="I21" s="305">
        <f t="shared" si="12"/>
        <v>0</v>
      </c>
      <c r="J21" s="306">
        <f t="shared" si="2"/>
        <v>0</v>
      </c>
      <c r="K21" s="299"/>
      <c r="L21" s="300">
        <f t="shared" si="3"/>
        <v>-2935727.6211671615</v>
      </c>
      <c r="M21" s="305">
        <f t="shared" si="4"/>
        <v>3651141.7555073285</v>
      </c>
      <c r="N21" s="307">
        <f t="shared" si="5"/>
        <v>715414.13434016705</v>
      </c>
      <c r="O21" s="299"/>
      <c r="P21" s="308">
        <f>Données!AC21</f>
        <v>923124.7</v>
      </c>
      <c r="Q21" s="304">
        <f>Données!AD21</f>
        <v>-158484.5</v>
      </c>
      <c r="R21" s="299">
        <f t="shared" si="10"/>
        <v>764640.2</v>
      </c>
      <c r="S21" s="305">
        <f t="shared" si="11"/>
        <v>-458784.11999999994</v>
      </c>
      <c r="T21" s="299">
        <f t="shared" si="6"/>
        <v>614324.82727101154</v>
      </c>
      <c r="U21" s="309">
        <f t="shared" si="7"/>
        <v>155540.7072710116</v>
      </c>
    </row>
    <row r="22" spans="1:21" x14ac:dyDescent="0.25">
      <c r="A22" s="156">
        <f>Données!A22</f>
        <v>5415</v>
      </c>
      <c r="B22" s="157" t="str">
        <f>Données!B22</f>
        <v>Yvorne</v>
      </c>
      <c r="C22" s="304">
        <f>Données!C22</f>
        <v>1119</v>
      </c>
      <c r="D22" s="300">
        <f t="shared" si="0"/>
        <v>1000</v>
      </c>
      <c r="E22" s="300">
        <f t="shared" si="8"/>
        <v>119</v>
      </c>
      <c r="F22" s="305">
        <f t="shared" si="12"/>
        <v>0</v>
      </c>
      <c r="G22" s="299">
        <f t="shared" si="12"/>
        <v>0</v>
      </c>
      <c r="H22" s="300">
        <f t="shared" si="12"/>
        <v>0</v>
      </c>
      <c r="I22" s="305">
        <f t="shared" si="12"/>
        <v>0</v>
      </c>
      <c r="J22" s="306">
        <f t="shared" si="2"/>
        <v>0</v>
      </c>
      <c r="K22" s="299"/>
      <c r="L22" s="300">
        <f t="shared" si="3"/>
        <v>-178188.57566765576</v>
      </c>
      <c r="M22" s="305">
        <f t="shared" si="4"/>
        <v>672752.7785958671</v>
      </c>
      <c r="N22" s="307">
        <f t="shared" si="5"/>
        <v>494564.20292821131</v>
      </c>
      <c r="O22" s="299"/>
      <c r="P22" s="308">
        <f>Données!AC22</f>
        <v>184050</v>
      </c>
      <c r="Q22" s="304">
        <f>Données!AD22</f>
        <v>-11645</v>
      </c>
      <c r="R22" s="299">
        <f t="shared" si="10"/>
        <v>172405</v>
      </c>
      <c r="S22" s="305">
        <f t="shared" si="11"/>
        <v>-103443</v>
      </c>
      <c r="T22" s="299">
        <f t="shared" si="6"/>
        <v>113194.38197205038</v>
      </c>
      <c r="U22" s="309">
        <f t="shared" si="7"/>
        <v>9751.3819720503816</v>
      </c>
    </row>
    <row r="23" spans="1:21" x14ac:dyDescent="0.25">
      <c r="A23" s="156">
        <f>Données!A23</f>
        <v>5422</v>
      </c>
      <c r="B23" s="157" t="str">
        <f>Données!B23</f>
        <v>Aubonne</v>
      </c>
      <c r="C23" s="304">
        <f>Données!C23</f>
        <v>3896</v>
      </c>
      <c r="D23" s="300">
        <f t="shared" si="0"/>
        <v>1000</v>
      </c>
      <c r="E23" s="300">
        <f t="shared" si="8"/>
        <v>2000</v>
      </c>
      <c r="F23" s="305">
        <f t="shared" si="12"/>
        <v>896</v>
      </c>
      <c r="G23" s="299">
        <f t="shared" si="12"/>
        <v>0</v>
      </c>
      <c r="H23" s="300">
        <f t="shared" si="12"/>
        <v>0</v>
      </c>
      <c r="I23" s="305">
        <f t="shared" si="12"/>
        <v>0</v>
      </c>
      <c r="J23" s="306">
        <f t="shared" si="2"/>
        <v>0</v>
      </c>
      <c r="K23" s="299"/>
      <c r="L23" s="300">
        <f t="shared" si="3"/>
        <v>-1480895.1533135511</v>
      </c>
      <c r="M23" s="305">
        <f t="shared" si="4"/>
        <v>2342309.9422783717</v>
      </c>
      <c r="N23" s="307">
        <f t="shared" si="5"/>
        <v>861414.78896482056</v>
      </c>
      <c r="O23" s="299"/>
      <c r="P23" s="308" t="str">
        <f>Données!AC23</f>
        <v/>
      </c>
      <c r="Q23" s="304" t="str">
        <f>Données!AD23</f>
        <v/>
      </c>
      <c r="R23" s="299">
        <f t="shared" si="10"/>
        <v>0</v>
      </c>
      <c r="S23" s="305">
        <f t="shared" si="11"/>
        <v>0</v>
      </c>
      <c r="T23" s="299">
        <f t="shared" si="6"/>
        <v>394106.62391698686</v>
      </c>
      <c r="U23" s="309">
        <f t="shared" si="7"/>
        <v>394106.62391698686</v>
      </c>
    </row>
    <row r="24" spans="1:21" x14ac:dyDescent="0.25">
      <c r="A24" s="156">
        <f>Données!A24</f>
        <v>5423</v>
      </c>
      <c r="B24" s="157" t="str">
        <f>Données!B24</f>
        <v>Ballens</v>
      </c>
      <c r="C24" s="304">
        <f>Données!C24</f>
        <v>580</v>
      </c>
      <c r="D24" s="300">
        <f t="shared" si="0"/>
        <v>580</v>
      </c>
      <c r="E24" s="300">
        <f t="shared" si="8"/>
        <v>0</v>
      </c>
      <c r="F24" s="305">
        <f t="shared" si="12"/>
        <v>0</v>
      </c>
      <c r="G24" s="299">
        <f t="shared" si="12"/>
        <v>0</v>
      </c>
      <c r="H24" s="300">
        <f t="shared" si="12"/>
        <v>0</v>
      </c>
      <c r="I24" s="305">
        <f t="shared" si="12"/>
        <v>0</v>
      </c>
      <c r="J24" s="306">
        <f t="shared" si="2"/>
        <v>0</v>
      </c>
      <c r="K24" s="299"/>
      <c r="L24" s="300">
        <f t="shared" si="3"/>
        <v>-77519.782393669637</v>
      </c>
      <c r="M24" s="305">
        <f t="shared" si="4"/>
        <v>348701.1721050964</v>
      </c>
      <c r="N24" s="307">
        <f t="shared" si="5"/>
        <v>271181.38971142675</v>
      </c>
      <c r="O24" s="299"/>
      <c r="P24" s="308" t="str">
        <f>Données!AC24</f>
        <v/>
      </c>
      <c r="Q24" s="304" t="str">
        <f>Données!AD24</f>
        <v/>
      </c>
      <c r="R24" s="299">
        <f t="shared" si="10"/>
        <v>0</v>
      </c>
      <c r="S24" s="305">
        <f t="shared" si="11"/>
        <v>0</v>
      </c>
      <c r="T24" s="299">
        <f t="shared" si="6"/>
        <v>58670.903971214677</v>
      </c>
      <c r="U24" s="309">
        <f t="shared" si="7"/>
        <v>58670.903971214677</v>
      </c>
    </row>
    <row r="25" spans="1:21" x14ac:dyDescent="0.25">
      <c r="A25" s="156">
        <f>Données!A25</f>
        <v>5424</v>
      </c>
      <c r="B25" s="157" t="str">
        <f>Données!B25</f>
        <v>Berolle</v>
      </c>
      <c r="C25" s="304">
        <f>Données!C25</f>
        <v>300</v>
      </c>
      <c r="D25" s="300">
        <f t="shared" si="0"/>
        <v>300</v>
      </c>
      <c r="E25" s="300">
        <f t="shared" si="8"/>
        <v>0</v>
      </c>
      <c r="F25" s="305">
        <f t="shared" si="12"/>
        <v>0</v>
      </c>
      <c r="G25" s="299">
        <f t="shared" si="12"/>
        <v>0</v>
      </c>
      <c r="H25" s="300">
        <f t="shared" si="12"/>
        <v>0</v>
      </c>
      <c r="I25" s="305">
        <f t="shared" si="12"/>
        <v>0</v>
      </c>
      <c r="J25" s="306">
        <f t="shared" si="2"/>
        <v>0</v>
      </c>
      <c r="K25" s="299"/>
      <c r="L25" s="300">
        <f t="shared" si="3"/>
        <v>-40096.439169139463</v>
      </c>
      <c r="M25" s="305">
        <f t="shared" si="4"/>
        <v>180362.67522677401</v>
      </c>
      <c r="N25" s="307">
        <f t="shared" si="5"/>
        <v>140266.23605763455</v>
      </c>
      <c r="O25" s="299"/>
      <c r="P25" s="308" t="str">
        <f>Données!AC25</f>
        <v/>
      </c>
      <c r="Q25" s="304" t="str">
        <f>Données!AD25</f>
        <v/>
      </c>
      <c r="R25" s="299">
        <f t="shared" si="10"/>
        <v>0</v>
      </c>
      <c r="S25" s="305">
        <f t="shared" si="11"/>
        <v>0</v>
      </c>
      <c r="T25" s="299">
        <f t="shared" si="6"/>
        <v>30347.019295455866</v>
      </c>
      <c r="U25" s="309">
        <f t="shared" si="7"/>
        <v>30347.019295455866</v>
      </c>
    </row>
    <row r="26" spans="1:21" x14ac:dyDescent="0.25">
      <c r="A26" s="156">
        <f>Données!A26</f>
        <v>5425</v>
      </c>
      <c r="B26" s="157" t="str">
        <f>Données!B26</f>
        <v>Bière</v>
      </c>
      <c r="C26" s="304">
        <f>Données!C26</f>
        <v>1701</v>
      </c>
      <c r="D26" s="300">
        <f t="shared" si="0"/>
        <v>1000</v>
      </c>
      <c r="E26" s="300">
        <f t="shared" si="8"/>
        <v>701</v>
      </c>
      <c r="F26" s="305">
        <f t="shared" si="12"/>
        <v>0</v>
      </c>
      <c r="G26" s="299">
        <f t="shared" si="12"/>
        <v>0</v>
      </c>
      <c r="H26" s="300">
        <f t="shared" si="12"/>
        <v>0</v>
      </c>
      <c r="I26" s="305">
        <f t="shared" si="12"/>
        <v>0</v>
      </c>
      <c r="J26" s="306">
        <f t="shared" si="2"/>
        <v>0</v>
      </c>
      <c r="K26" s="299"/>
      <c r="L26" s="300">
        <f t="shared" si="3"/>
        <v>-395992.43323442136</v>
      </c>
      <c r="M26" s="305">
        <f t="shared" si="4"/>
        <v>1022656.3685358086</v>
      </c>
      <c r="N26" s="307">
        <f t="shared" si="5"/>
        <v>626663.93530138722</v>
      </c>
      <c r="O26" s="299"/>
      <c r="P26" s="308" t="str">
        <f>Données!AC26</f>
        <v/>
      </c>
      <c r="Q26" s="304" t="str">
        <f>Données!AD26</f>
        <v/>
      </c>
      <c r="R26" s="299">
        <f t="shared" si="10"/>
        <v>0</v>
      </c>
      <c r="S26" s="305">
        <f t="shared" si="11"/>
        <v>0</v>
      </c>
      <c r="T26" s="299">
        <f t="shared" si="6"/>
        <v>172067.59940523477</v>
      </c>
      <c r="U26" s="309">
        <f t="shared" si="7"/>
        <v>172067.59940523477</v>
      </c>
    </row>
    <row r="27" spans="1:21" x14ac:dyDescent="0.25">
      <c r="A27" s="156">
        <f>Données!A27</f>
        <v>5426</v>
      </c>
      <c r="B27" s="157" t="str">
        <f>Données!B27</f>
        <v>Bougy-Villars</v>
      </c>
      <c r="C27" s="304">
        <f>Données!C27</f>
        <v>493</v>
      </c>
      <c r="D27" s="300">
        <f t="shared" si="0"/>
        <v>493</v>
      </c>
      <c r="E27" s="300">
        <f t="shared" si="8"/>
        <v>0</v>
      </c>
      <c r="F27" s="305">
        <f t="shared" si="12"/>
        <v>0</v>
      </c>
      <c r="G27" s="299">
        <f t="shared" si="12"/>
        <v>0</v>
      </c>
      <c r="H27" s="300">
        <f t="shared" si="12"/>
        <v>0</v>
      </c>
      <c r="I27" s="305">
        <f t="shared" si="12"/>
        <v>0</v>
      </c>
      <c r="J27" s="306">
        <f t="shared" si="2"/>
        <v>0</v>
      </c>
      <c r="K27" s="299"/>
      <c r="L27" s="300">
        <f t="shared" si="3"/>
        <v>-65891.815034619183</v>
      </c>
      <c r="M27" s="305">
        <f t="shared" si="4"/>
        <v>296395.99628933199</v>
      </c>
      <c r="N27" s="307">
        <f t="shared" si="5"/>
        <v>230504.18125471281</v>
      </c>
      <c r="O27" s="299"/>
      <c r="P27" s="308" t="str">
        <f>Données!AC27</f>
        <v/>
      </c>
      <c r="Q27" s="304" t="str">
        <f>Données!AD27</f>
        <v/>
      </c>
      <c r="R27" s="299">
        <f t="shared" si="10"/>
        <v>0</v>
      </c>
      <c r="S27" s="305">
        <f t="shared" si="11"/>
        <v>0</v>
      </c>
      <c r="T27" s="299">
        <f t="shared" si="6"/>
        <v>49870.268375532469</v>
      </c>
      <c r="U27" s="309">
        <f t="shared" si="7"/>
        <v>49870.268375532469</v>
      </c>
    </row>
    <row r="28" spans="1:21" x14ac:dyDescent="0.25">
      <c r="A28" s="156">
        <f>Données!A28</f>
        <v>5427</v>
      </c>
      <c r="B28" s="157" t="str">
        <f>Données!B28</f>
        <v>Féchy</v>
      </c>
      <c r="C28" s="304">
        <f>Données!C28</f>
        <v>906</v>
      </c>
      <c r="D28" s="300">
        <f t="shared" si="0"/>
        <v>906</v>
      </c>
      <c r="E28" s="300">
        <f t="shared" si="8"/>
        <v>0</v>
      </c>
      <c r="F28" s="305">
        <f t="shared" si="12"/>
        <v>0</v>
      </c>
      <c r="G28" s="299">
        <f t="shared" si="12"/>
        <v>0</v>
      </c>
      <c r="H28" s="300">
        <f t="shared" si="12"/>
        <v>0</v>
      </c>
      <c r="I28" s="305">
        <f t="shared" si="12"/>
        <v>0</v>
      </c>
      <c r="J28" s="306">
        <f t="shared" si="2"/>
        <v>0</v>
      </c>
      <c r="K28" s="299"/>
      <c r="L28" s="300">
        <f t="shared" si="3"/>
        <v>-121091.24629080118</v>
      </c>
      <c r="M28" s="305">
        <f t="shared" si="4"/>
        <v>544695.2791848575</v>
      </c>
      <c r="N28" s="307">
        <f t="shared" si="5"/>
        <v>423604.03289405629</v>
      </c>
      <c r="O28" s="299"/>
      <c r="P28" s="308" t="str">
        <f>Données!AC28</f>
        <v/>
      </c>
      <c r="Q28" s="304" t="str">
        <f>Données!AD28</f>
        <v/>
      </c>
      <c r="R28" s="299">
        <f t="shared" si="10"/>
        <v>0</v>
      </c>
      <c r="S28" s="305">
        <f t="shared" si="11"/>
        <v>0</v>
      </c>
      <c r="T28" s="299">
        <f t="shared" si="6"/>
        <v>91647.998272276716</v>
      </c>
      <c r="U28" s="309">
        <f t="shared" si="7"/>
        <v>91647.998272276716</v>
      </c>
    </row>
    <row r="29" spans="1:21" x14ac:dyDescent="0.25">
      <c r="A29" s="156">
        <f>Données!A29</f>
        <v>5428</v>
      </c>
      <c r="B29" s="157" t="str">
        <f>Données!B29</f>
        <v>Gimel</v>
      </c>
      <c r="C29" s="304">
        <f>Données!C29</f>
        <v>3343</v>
      </c>
      <c r="D29" s="300">
        <f t="shared" si="0"/>
        <v>1000</v>
      </c>
      <c r="E29" s="300">
        <f t="shared" si="8"/>
        <v>2000</v>
      </c>
      <c r="F29" s="305">
        <f t="shared" ref="F29:I36" si="13">IF($C29&lt;F$4,0,IF($C29&gt;F$5,F$5-F$4,$C29-F$4))</f>
        <v>343</v>
      </c>
      <c r="G29" s="299">
        <f t="shared" si="13"/>
        <v>0</v>
      </c>
      <c r="H29" s="300">
        <f t="shared" si="13"/>
        <v>0</v>
      </c>
      <c r="I29" s="305">
        <f t="shared" si="13"/>
        <v>0</v>
      </c>
      <c r="J29" s="306">
        <f t="shared" si="2"/>
        <v>0</v>
      </c>
      <c r="K29" s="299"/>
      <c r="L29" s="300">
        <f t="shared" si="3"/>
        <v>-1111339.6389713155</v>
      </c>
      <c r="M29" s="305">
        <f t="shared" si="4"/>
        <v>2009841.4109436851</v>
      </c>
      <c r="N29" s="307">
        <f t="shared" si="5"/>
        <v>898501.77197236964</v>
      </c>
      <c r="O29" s="299"/>
      <c r="P29" s="308" t="str">
        <f>Données!AC29</f>
        <v/>
      </c>
      <c r="Q29" s="304" t="str">
        <f>Données!AD29</f>
        <v/>
      </c>
      <c r="R29" s="299">
        <f t="shared" si="10"/>
        <v>0</v>
      </c>
      <c r="S29" s="305">
        <f t="shared" si="11"/>
        <v>0</v>
      </c>
      <c r="T29" s="299">
        <f t="shared" si="6"/>
        <v>338166.95168236317</v>
      </c>
      <c r="U29" s="309">
        <f t="shared" si="7"/>
        <v>338166.95168236317</v>
      </c>
    </row>
    <row r="30" spans="1:21" x14ac:dyDescent="0.25">
      <c r="A30" s="156">
        <f>Données!A30</f>
        <v>5429</v>
      </c>
      <c r="B30" s="157" t="str">
        <f>Données!B30</f>
        <v>Longirod</v>
      </c>
      <c r="C30" s="304">
        <f>Données!C30</f>
        <v>558</v>
      </c>
      <c r="D30" s="300">
        <f t="shared" si="0"/>
        <v>558</v>
      </c>
      <c r="E30" s="300">
        <f t="shared" si="8"/>
        <v>0</v>
      </c>
      <c r="F30" s="305">
        <f t="shared" si="13"/>
        <v>0</v>
      </c>
      <c r="G30" s="299">
        <f t="shared" si="13"/>
        <v>0</v>
      </c>
      <c r="H30" s="300">
        <f t="shared" si="13"/>
        <v>0</v>
      </c>
      <c r="I30" s="305">
        <f t="shared" si="13"/>
        <v>0</v>
      </c>
      <c r="J30" s="306">
        <f t="shared" si="2"/>
        <v>0</v>
      </c>
      <c r="K30" s="299"/>
      <c r="L30" s="300">
        <f t="shared" si="3"/>
        <v>-74579.37685459941</v>
      </c>
      <c r="M30" s="305">
        <f t="shared" si="4"/>
        <v>335474.57592179964</v>
      </c>
      <c r="N30" s="307">
        <f t="shared" si="5"/>
        <v>260895.19906720024</v>
      </c>
      <c r="O30" s="299"/>
      <c r="P30" s="308" t="str">
        <f>Données!AC30</f>
        <v/>
      </c>
      <c r="Q30" s="304" t="str">
        <f>Données!AD30</f>
        <v/>
      </c>
      <c r="R30" s="299">
        <f t="shared" si="10"/>
        <v>0</v>
      </c>
      <c r="S30" s="305">
        <f t="shared" si="11"/>
        <v>0</v>
      </c>
      <c r="T30" s="299">
        <f t="shared" si="6"/>
        <v>56445.455889547913</v>
      </c>
      <c r="U30" s="309">
        <f t="shared" si="7"/>
        <v>56445.455889547913</v>
      </c>
    </row>
    <row r="31" spans="1:21" x14ac:dyDescent="0.25">
      <c r="A31" s="156">
        <f>Données!A31</f>
        <v>5430</v>
      </c>
      <c r="B31" s="157" t="str">
        <f>Données!B31</f>
        <v>Marchissy</v>
      </c>
      <c r="C31" s="304">
        <f>Données!C31</f>
        <v>492</v>
      </c>
      <c r="D31" s="300">
        <f t="shared" si="0"/>
        <v>492</v>
      </c>
      <c r="E31" s="300">
        <f t="shared" si="8"/>
        <v>0</v>
      </c>
      <c r="F31" s="305">
        <f t="shared" si="13"/>
        <v>0</v>
      </c>
      <c r="G31" s="299">
        <f t="shared" si="13"/>
        <v>0</v>
      </c>
      <c r="H31" s="300">
        <f t="shared" si="13"/>
        <v>0</v>
      </c>
      <c r="I31" s="305">
        <f t="shared" si="13"/>
        <v>0</v>
      </c>
      <c r="J31" s="306">
        <f t="shared" si="2"/>
        <v>0</v>
      </c>
      <c r="K31" s="299"/>
      <c r="L31" s="300">
        <f t="shared" si="3"/>
        <v>-65758.160237388714</v>
      </c>
      <c r="M31" s="305">
        <f t="shared" si="4"/>
        <v>295794.78737190936</v>
      </c>
      <c r="N31" s="307">
        <f t="shared" si="5"/>
        <v>230036.62713452065</v>
      </c>
      <c r="O31" s="299"/>
      <c r="P31" s="308" t="str">
        <f>Données!AC31</f>
        <v/>
      </c>
      <c r="Q31" s="304" t="str">
        <f>Données!AD31</f>
        <v/>
      </c>
      <c r="R31" s="299">
        <f t="shared" si="10"/>
        <v>0</v>
      </c>
      <c r="S31" s="305">
        <f t="shared" si="11"/>
        <v>0</v>
      </c>
      <c r="T31" s="299">
        <f t="shared" si="6"/>
        <v>49769.111644547622</v>
      </c>
      <c r="U31" s="309">
        <f t="shared" si="7"/>
        <v>49769.111644547622</v>
      </c>
    </row>
    <row r="32" spans="1:21" x14ac:dyDescent="0.25">
      <c r="A32" s="156">
        <f>Données!A32</f>
        <v>5431</v>
      </c>
      <c r="B32" s="157" t="str">
        <f>Données!B32</f>
        <v>Mollens</v>
      </c>
      <c r="C32" s="304">
        <f>Données!C32</f>
        <v>320</v>
      </c>
      <c r="D32" s="300">
        <f t="shared" si="0"/>
        <v>320</v>
      </c>
      <c r="E32" s="300">
        <f t="shared" si="8"/>
        <v>0</v>
      </c>
      <c r="F32" s="305">
        <f t="shared" si="13"/>
        <v>0</v>
      </c>
      <c r="G32" s="299">
        <f t="shared" si="13"/>
        <v>0</v>
      </c>
      <c r="H32" s="300">
        <f t="shared" si="13"/>
        <v>0</v>
      </c>
      <c r="I32" s="305">
        <f t="shared" si="13"/>
        <v>0</v>
      </c>
      <c r="J32" s="306">
        <f t="shared" si="2"/>
        <v>0</v>
      </c>
      <c r="K32" s="299"/>
      <c r="L32" s="300">
        <f t="shared" si="3"/>
        <v>-42769.53511374876</v>
      </c>
      <c r="M32" s="305">
        <f t="shared" si="4"/>
        <v>192386.85357522563</v>
      </c>
      <c r="N32" s="307">
        <f t="shared" si="5"/>
        <v>149617.31846147688</v>
      </c>
      <c r="O32" s="299"/>
      <c r="P32" s="308" t="str">
        <f>Données!AC32</f>
        <v/>
      </c>
      <c r="Q32" s="304" t="str">
        <f>Données!AD32</f>
        <v/>
      </c>
      <c r="R32" s="299">
        <f t="shared" si="10"/>
        <v>0</v>
      </c>
      <c r="S32" s="305">
        <f t="shared" si="11"/>
        <v>0</v>
      </c>
      <c r="T32" s="299">
        <f t="shared" si="6"/>
        <v>32370.153915152921</v>
      </c>
      <c r="U32" s="309">
        <f t="shared" si="7"/>
        <v>32370.153915152921</v>
      </c>
    </row>
    <row r="33" spans="1:21" x14ac:dyDescent="0.25">
      <c r="A33" s="156">
        <f>Données!A33</f>
        <v>5434</v>
      </c>
      <c r="B33" s="157" t="str">
        <f>Données!B33</f>
        <v>Saint-George</v>
      </c>
      <c r="C33" s="304">
        <f>Données!C33</f>
        <v>1082</v>
      </c>
      <c r="D33" s="300">
        <f t="shared" si="0"/>
        <v>1000</v>
      </c>
      <c r="E33" s="300">
        <f t="shared" si="8"/>
        <v>82</v>
      </c>
      <c r="F33" s="305">
        <f t="shared" si="13"/>
        <v>0</v>
      </c>
      <c r="G33" s="299">
        <f t="shared" si="13"/>
        <v>0</v>
      </c>
      <c r="H33" s="300">
        <f t="shared" si="13"/>
        <v>0</v>
      </c>
      <c r="I33" s="305">
        <f t="shared" si="13"/>
        <v>0</v>
      </c>
      <c r="J33" s="306">
        <f t="shared" si="2"/>
        <v>0</v>
      </c>
      <c r="K33" s="299"/>
      <c r="L33" s="300">
        <f t="shared" si="3"/>
        <v>-164341.93867457961</v>
      </c>
      <c r="M33" s="305">
        <f t="shared" si="4"/>
        <v>650508.04865123157</v>
      </c>
      <c r="N33" s="307">
        <f t="shared" si="5"/>
        <v>486166.10997665196</v>
      </c>
      <c r="O33" s="299"/>
      <c r="P33" s="308" t="str">
        <f>Données!AC33</f>
        <v/>
      </c>
      <c r="Q33" s="304" t="str">
        <f>Données!AD33</f>
        <v/>
      </c>
      <c r="R33" s="299">
        <f t="shared" si="10"/>
        <v>0</v>
      </c>
      <c r="S33" s="305">
        <f t="shared" si="11"/>
        <v>0</v>
      </c>
      <c r="T33" s="299">
        <f t="shared" si="6"/>
        <v>109451.58292561083</v>
      </c>
      <c r="U33" s="309">
        <f t="shared" si="7"/>
        <v>109451.58292561083</v>
      </c>
    </row>
    <row r="34" spans="1:21" x14ac:dyDescent="0.25">
      <c r="A34" s="156">
        <f>Données!A34</f>
        <v>5435</v>
      </c>
      <c r="B34" s="157" t="str">
        <f>Données!B34</f>
        <v>Saint-Livres</v>
      </c>
      <c r="C34" s="304">
        <f>Données!C34</f>
        <v>708</v>
      </c>
      <c r="D34" s="300">
        <f t="shared" si="0"/>
        <v>708</v>
      </c>
      <c r="E34" s="300">
        <f t="shared" si="8"/>
        <v>0</v>
      </c>
      <c r="F34" s="305">
        <f t="shared" si="13"/>
        <v>0</v>
      </c>
      <c r="G34" s="299">
        <f t="shared" si="13"/>
        <v>0</v>
      </c>
      <c r="H34" s="300">
        <f t="shared" si="13"/>
        <v>0</v>
      </c>
      <c r="I34" s="305">
        <f t="shared" si="13"/>
        <v>0</v>
      </c>
      <c r="J34" s="306">
        <f t="shared" si="2"/>
        <v>0</v>
      </c>
      <c r="K34" s="299"/>
      <c r="L34" s="300">
        <f t="shared" si="3"/>
        <v>-94627.596439169138</v>
      </c>
      <c r="M34" s="305">
        <f t="shared" si="4"/>
        <v>425655.91353518667</v>
      </c>
      <c r="N34" s="307">
        <f t="shared" si="5"/>
        <v>331028.31709601753</v>
      </c>
      <c r="O34" s="299"/>
      <c r="P34" s="308" t="str">
        <f>Données!AC34</f>
        <v/>
      </c>
      <c r="Q34" s="304" t="str">
        <f>Données!AD34</f>
        <v/>
      </c>
      <c r="R34" s="299">
        <f t="shared" si="10"/>
        <v>0</v>
      </c>
      <c r="S34" s="305">
        <f t="shared" si="11"/>
        <v>0</v>
      </c>
      <c r="T34" s="299">
        <f t="shared" si="6"/>
        <v>71618.965537275843</v>
      </c>
      <c r="U34" s="309">
        <f t="shared" si="7"/>
        <v>71618.965537275843</v>
      </c>
    </row>
    <row r="35" spans="1:21" x14ac:dyDescent="0.25">
      <c r="A35" s="156">
        <f>Données!A35</f>
        <v>5451</v>
      </c>
      <c r="B35" s="157" t="str">
        <f>Données!B35</f>
        <v>Avenches</v>
      </c>
      <c r="C35" s="304">
        <f>Données!C35</f>
        <v>4953</v>
      </c>
      <c r="D35" s="300">
        <f t="shared" si="0"/>
        <v>1000</v>
      </c>
      <c r="E35" s="300">
        <f t="shared" si="8"/>
        <v>2000</v>
      </c>
      <c r="F35" s="305">
        <f t="shared" si="13"/>
        <v>1953</v>
      </c>
      <c r="G35" s="299">
        <f t="shared" si="13"/>
        <v>0</v>
      </c>
      <c r="H35" s="300">
        <f t="shared" si="13"/>
        <v>0</v>
      </c>
      <c r="I35" s="305">
        <f t="shared" si="13"/>
        <v>0</v>
      </c>
      <c r="J35" s="306">
        <f t="shared" si="2"/>
        <v>0</v>
      </c>
      <c r="K35" s="299"/>
      <c r="L35" s="300">
        <f t="shared" si="3"/>
        <v>-2187260.7566765579</v>
      </c>
      <c r="M35" s="305">
        <f t="shared" si="4"/>
        <v>2977787.7679940388</v>
      </c>
      <c r="N35" s="307">
        <f t="shared" si="5"/>
        <v>790527.01131748082</v>
      </c>
      <c r="O35" s="299"/>
      <c r="P35" s="308">
        <f>Données!AC35</f>
        <v>357716</v>
      </c>
      <c r="Q35" s="304">
        <f>Données!AD35</f>
        <v>0</v>
      </c>
      <c r="R35" s="299">
        <f t="shared" si="10"/>
        <v>357716</v>
      </c>
      <c r="S35" s="305">
        <f t="shared" si="11"/>
        <v>-214629.6</v>
      </c>
      <c r="T35" s="299">
        <f t="shared" si="6"/>
        <v>501029.28856797633</v>
      </c>
      <c r="U35" s="309">
        <f t="shared" si="7"/>
        <v>286399.68856797635</v>
      </c>
    </row>
    <row r="36" spans="1:21" x14ac:dyDescent="0.25">
      <c r="A36" s="156">
        <f>Données!A36</f>
        <v>5456</v>
      </c>
      <c r="B36" s="157" t="str">
        <f>Données!B36</f>
        <v>Cudrefin</v>
      </c>
      <c r="C36" s="304">
        <f>Données!C36</f>
        <v>1915</v>
      </c>
      <c r="D36" s="300">
        <f t="shared" si="0"/>
        <v>1000</v>
      </c>
      <c r="E36" s="300">
        <f t="shared" si="8"/>
        <v>915</v>
      </c>
      <c r="F36" s="305">
        <f t="shared" si="13"/>
        <v>0</v>
      </c>
      <c r="G36" s="299">
        <f t="shared" si="13"/>
        <v>0</v>
      </c>
      <c r="H36" s="300">
        <f t="shared" si="13"/>
        <v>0</v>
      </c>
      <c r="I36" s="305">
        <f t="shared" si="13"/>
        <v>0</v>
      </c>
      <c r="J36" s="306">
        <f t="shared" si="2"/>
        <v>0</v>
      </c>
      <c r="K36" s="299"/>
      <c r="L36" s="300">
        <f t="shared" si="3"/>
        <v>-476078.38773491589</v>
      </c>
      <c r="M36" s="305">
        <f t="shared" si="4"/>
        <v>1151315.0768642407</v>
      </c>
      <c r="N36" s="307">
        <f t="shared" si="5"/>
        <v>675236.68912932486</v>
      </c>
      <c r="O36" s="299"/>
      <c r="P36" s="308" t="str">
        <f>Données!AC36</f>
        <v/>
      </c>
      <c r="Q36" s="304" t="str">
        <f>Données!AD36</f>
        <v/>
      </c>
      <c r="R36" s="299">
        <f t="shared" si="10"/>
        <v>0</v>
      </c>
      <c r="S36" s="305">
        <f t="shared" si="11"/>
        <v>0</v>
      </c>
      <c r="T36" s="299">
        <f t="shared" si="6"/>
        <v>193715.13983599326</v>
      </c>
      <c r="U36" s="309">
        <f t="shared" si="7"/>
        <v>193715.13983599326</v>
      </c>
    </row>
    <row r="37" spans="1:21" x14ac:dyDescent="0.25">
      <c r="A37" s="156">
        <f>Données!A37</f>
        <v>5458</v>
      </c>
      <c r="B37" s="157" t="str">
        <f>Données!B37</f>
        <v>Faoug</v>
      </c>
      <c r="C37" s="304">
        <f>Données!C37</f>
        <v>902</v>
      </c>
      <c r="D37" s="300">
        <f t="shared" si="0"/>
        <v>902</v>
      </c>
      <c r="E37" s="300">
        <f t="shared" si="8"/>
        <v>0</v>
      </c>
      <c r="F37" s="305">
        <f t="shared" ref="F37:I46" si="14">IF($C37&lt;F$4,0,IF($C37&gt;F$5,F$5-F$4,$C37-F$4))</f>
        <v>0</v>
      </c>
      <c r="G37" s="299">
        <f t="shared" si="14"/>
        <v>0</v>
      </c>
      <c r="H37" s="300">
        <f t="shared" si="14"/>
        <v>0</v>
      </c>
      <c r="I37" s="305">
        <f t="shared" si="14"/>
        <v>0</v>
      </c>
      <c r="J37" s="306">
        <f t="shared" si="2"/>
        <v>0</v>
      </c>
      <c r="K37" s="299"/>
      <c r="L37" s="300">
        <f t="shared" si="3"/>
        <v>-120556.62710187932</v>
      </c>
      <c r="M37" s="305">
        <f t="shared" si="4"/>
        <v>542290.44351516722</v>
      </c>
      <c r="N37" s="307">
        <f t="shared" si="5"/>
        <v>421733.81641328789</v>
      </c>
      <c r="O37" s="299"/>
      <c r="P37" s="308" t="str">
        <f>Données!AC37</f>
        <v/>
      </c>
      <c r="Q37" s="304" t="str">
        <f>Données!AD37</f>
        <v/>
      </c>
      <c r="R37" s="299">
        <f t="shared" si="10"/>
        <v>0</v>
      </c>
      <c r="S37" s="305">
        <f t="shared" si="11"/>
        <v>0</v>
      </c>
      <c r="T37" s="299">
        <f t="shared" si="6"/>
        <v>91243.371348337299</v>
      </c>
      <c r="U37" s="309">
        <f t="shared" si="7"/>
        <v>91243.371348337299</v>
      </c>
    </row>
    <row r="38" spans="1:21" x14ac:dyDescent="0.25">
      <c r="A38" s="156">
        <f>Données!A38</f>
        <v>5464</v>
      </c>
      <c r="B38" s="157" t="str">
        <f>Données!B38</f>
        <v>Vully-les-Lacs</v>
      </c>
      <c r="C38" s="304">
        <f>Données!C38</f>
        <v>3698</v>
      </c>
      <c r="D38" s="300">
        <f t="shared" si="0"/>
        <v>1000</v>
      </c>
      <c r="E38" s="300">
        <f t="shared" si="8"/>
        <v>2000</v>
      </c>
      <c r="F38" s="305">
        <f t="shared" si="14"/>
        <v>698</v>
      </c>
      <c r="G38" s="299">
        <f t="shared" si="14"/>
        <v>0</v>
      </c>
      <c r="H38" s="300">
        <f t="shared" si="14"/>
        <v>0</v>
      </c>
      <c r="I38" s="305">
        <f t="shared" si="14"/>
        <v>0</v>
      </c>
      <c r="J38" s="306">
        <f t="shared" si="2"/>
        <v>0</v>
      </c>
      <c r="K38" s="299"/>
      <c r="L38" s="300">
        <f t="shared" si="3"/>
        <v>-1348576.9040553907</v>
      </c>
      <c r="M38" s="305">
        <f t="shared" si="4"/>
        <v>2223270.5766287008</v>
      </c>
      <c r="N38" s="307">
        <f t="shared" si="5"/>
        <v>874693.67257331009</v>
      </c>
      <c r="O38" s="299"/>
      <c r="P38" s="308" t="str">
        <f>Données!AC38</f>
        <v/>
      </c>
      <c r="Q38" s="304" t="str">
        <f>Données!AD38</f>
        <v/>
      </c>
      <c r="R38" s="299">
        <f t="shared" si="10"/>
        <v>0</v>
      </c>
      <c r="S38" s="305">
        <f t="shared" si="11"/>
        <v>0</v>
      </c>
      <c r="T38" s="299">
        <f t="shared" si="6"/>
        <v>374077.59118198598</v>
      </c>
      <c r="U38" s="309">
        <f t="shared" si="7"/>
        <v>374077.59118198598</v>
      </c>
    </row>
    <row r="39" spans="1:21" x14ac:dyDescent="0.25">
      <c r="A39" s="156">
        <f>Données!A39</f>
        <v>5471</v>
      </c>
      <c r="B39" s="157" t="str">
        <f>Données!B39</f>
        <v>Bettens</v>
      </c>
      <c r="C39" s="304">
        <f>Données!C39</f>
        <v>652</v>
      </c>
      <c r="D39" s="300">
        <f t="shared" si="0"/>
        <v>652</v>
      </c>
      <c r="E39" s="300">
        <f t="shared" si="8"/>
        <v>0</v>
      </c>
      <c r="F39" s="305">
        <f t="shared" si="14"/>
        <v>0</v>
      </c>
      <c r="G39" s="299">
        <f t="shared" si="14"/>
        <v>0</v>
      </c>
      <c r="H39" s="300">
        <f t="shared" si="14"/>
        <v>0</v>
      </c>
      <c r="I39" s="305">
        <f t="shared" si="14"/>
        <v>0</v>
      </c>
      <c r="J39" s="306">
        <f t="shared" si="2"/>
        <v>0</v>
      </c>
      <c r="K39" s="299"/>
      <c r="L39" s="300">
        <f t="shared" si="3"/>
        <v>-87142.927794263102</v>
      </c>
      <c r="M39" s="305">
        <f t="shared" si="4"/>
        <v>391988.21415952221</v>
      </c>
      <c r="N39" s="307">
        <f t="shared" si="5"/>
        <v>304845.28636525909</v>
      </c>
      <c r="O39" s="299"/>
      <c r="P39" s="308" t="str">
        <f>Données!AC39</f>
        <v/>
      </c>
      <c r="Q39" s="304" t="str">
        <f>Données!AD39</f>
        <v/>
      </c>
      <c r="R39" s="299">
        <f t="shared" si="10"/>
        <v>0</v>
      </c>
      <c r="S39" s="305">
        <f t="shared" si="11"/>
        <v>0</v>
      </c>
      <c r="T39" s="299">
        <f t="shared" si="6"/>
        <v>65954.188602124079</v>
      </c>
      <c r="U39" s="309">
        <f t="shared" si="7"/>
        <v>65954.188602124079</v>
      </c>
    </row>
    <row r="40" spans="1:21" x14ac:dyDescent="0.25">
      <c r="A40" s="156">
        <f>Données!A40</f>
        <v>5472</v>
      </c>
      <c r="B40" s="157" t="str">
        <f>Données!B40</f>
        <v>Bournens</v>
      </c>
      <c r="C40" s="304">
        <f>Données!C40</f>
        <v>612</v>
      </c>
      <c r="D40" s="300">
        <f t="shared" si="0"/>
        <v>612</v>
      </c>
      <c r="E40" s="300">
        <f t="shared" si="8"/>
        <v>0</v>
      </c>
      <c r="F40" s="305">
        <f t="shared" si="14"/>
        <v>0</v>
      </c>
      <c r="G40" s="299">
        <f t="shared" si="14"/>
        <v>0</v>
      </c>
      <c r="H40" s="300">
        <f t="shared" si="14"/>
        <v>0</v>
      </c>
      <c r="I40" s="305">
        <f t="shared" si="14"/>
        <v>0</v>
      </c>
      <c r="J40" s="306">
        <f t="shared" si="2"/>
        <v>0</v>
      </c>
      <c r="K40" s="299"/>
      <c r="L40" s="300">
        <f t="shared" si="3"/>
        <v>-81796.735905044508</v>
      </c>
      <c r="M40" s="305">
        <f t="shared" si="4"/>
        <v>367939.85746261897</v>
      </c>
      <c r="N40" s="307">
        <f t="shared" si="5"/>
        <v>286143.12155757449</v>
      </c>
      <c r="O40" s="299"/>
      <c r="P40" s="308" t="str">
        <f>Données!AC40</f>
        <v/>
      </c>
      <c r="Q40" s="304" t="str">
        <f>Données!AD40</f>
        <v/>
      </c>
      <c r="R40" s="299">
        <f t="shared" si="10"/>
        <v>0</v>
      </c>
      <c r="S40" s="305">
        <f t="shared" si="11"/>
        <v>0</v>
      </c>
      <c r="T40" s="299">
        <f t="shared" si="6"/>
        <v>61907.919362729968</v>
      </c>
      <c r="U40" s="309">
        <f t="shared" si="7"/>
        <v>61907.919362729968</v>
      </c>
    </row>
    <row r="41" spans="1:21" x14ac:dyDescent="0.25">
      <c r="A41" s="156">
        <f>Données!A41</f>
        <v>5473</v>
      </c>
      <c r="B41" s="157" t="str">
        <f>Données!B41</f>
        <v>Boussens</v>
      </c>
      <c r="C41" s="304">
        <f>Données!C41</f>
        <v>1016</v>
      </c>
      <c r="D41" s="300">
        <f t="shared" si="0"/>
        <v>1000</v>
      </c>
      <c r="E41" s="300">
        <f t="shared" si="8"/>
        <v>16</v>
      </c>
      <c r="F41" s="305">
        <f t="shared" si="14"/>
        <v>0</v>
      </c>
      <c r="G41" s="299">
        <f t="shared" si="14"/>
        <v>0</v>
      </c>
      <c r="H41" s="300">
        <f t="shared" si="14"/>
        <v>0</v>
      </c>
      <c r="I41" s="305">
        <f t="shared" si="14"/>
        <v>0</v>
      </c>
      <c r="J41" s="306">
        <f t="shared" si="2"/>
        <v>0</v>
      </c>
      <c r="K41" s="299"/>
      <c r="L41" s="300">
        <f t="shared" si="3"/>
        <v>-139642.53214638971</v>
      </c>
      <c r="M41" s="305">
        <f t="shared" si="4"/>
        <v>610828.26010134129</v>
      </c>
      <c r="N41" s="307">
        <f t="shared" si="5"/>
        <v>471185.72795495158</v>
      </c>
      <c r="O41" s="299"/>
      <c r="P41" s="308" t="str">
        <f>Données!AC41</f>
        <v/>
      </c>
      <c r="Q41" s="304" t="str">
        <f>Données!AD41</f>
        <v/>
      </c>
      <c r="R41" s="299">
        <f t="shared" si="10"/>
        <v>0</v>
      </c>
      <c r="S41" s="305">
        <f t="shared" si="11"/>
        <v>0</v>
      </c>
      <c r="T41" s="299">
        <f t="shared" si="6"/>
        <v>102775.23868061054</v>
      </c>
      <c r="U41" s="309">
        <f t="shared" si="7"/>
        <v>102775.23868061054</v>
      </c>
    </row>
    <row r="42" spans="1:21" x14ac:dyDescent="0.25">
      <c r="A42" s="156">
        <f>Données!A42</f>
        <v>5474</v>
      </c>
      <c r="B42" s="157" t="str">
        <f>Données!B42</f>
        <v>La Chaux (Cossonay)</v>
      </c>
      <c r="C42" s="304">
        <f>Données!C42</f>
        <v>421</v>
      </c>
      <c r="D42" s="300">
        <f t="shared" si="0"/>
        <v>421</v>
      </c>
      <c r="E42" s="300">
        <f t="shared" si="8"/>
        <v>0</v>
      </c>
      <c r="F42" s="305">
        <f t="shared" si="14"/>
        <v>0</v>
      </c>
      <c r="G42" s="299">
        <f t="shared" si="14"/>
        <v>0</v>
      </c>
      <c r="H42" s="300">
        <f t="shared" si="14"/>
        <v>0</v>
      </c>
      <c r="I42" s="305">
        <f t="shared" si="14"/>
        <v>0</v>
      </c>
      <c r="J42" s="306">
        <f t="shared" si="2"/>
        <v>0</v>
      </c>
      <c r="K42" s="299"/>
      <c r="L42" s="300">
        <f t="shared" si="3"/>
        <v>-56268.669634025711</v>
      </c>
      <c r="M42" s="305">
        <f t="shared" si="4"/>
        <v>253108.95423490621</v>
      </c>
      <c r="N42" s="307">
        <f t="shared" si="5"/>
        <v>196840.28460088049</v>
      </c>
      <c r="O42" s="299"/>
      <c r="P42" s="308" t="str">
        <f>Données!AC42</f>
        <v/>
      </c>
      <c r="Q42" s="304" t="str">
        <f>Données!AD42</f>
        <v/>
      </c>
      <c r="R42" s="299">
        <f t="shared" si="10"/>
        <v>0</v>
      </c>
      <c r="S42" s="305">
        <f t="shared" si="11"/>
        <v>0</v>
      </c>
      <c r="T42" s="299">
        <f t="shared" si="6"/>
        <v>42586.983744623067</v>
      </c>
      <c r="U42" s="309">
        <f t="shared" si="7"/>
        <v>42586.983744623067</v>
      </c>
    </row>
    <row r="43" spans="1:21" x14ac:dyDescent="0.25">
      <c r="A43" s="156">
        <f>Données!A43</f>
        <v>5475</v>
      </c>
      <c r="B43" s="157" t="str">
        <f>Données!B43</f>
        <v>Chavannes-le-Veyron</v>
      </c>
      <c r="C43" s="304">
        <f>Données!C43</f>
        <v>160</v>
      </c>
      <c r="D43" s="300">
        <f t="shared" si="0"/>
        <v>160</v>
      </c>
      <c r="E43" s="300">
        <f t="shared" si="8"/>
        <v>0</v>
      </c>
      <c r="F43" s="305">
        <f t="shared" si="14"/>
        <v>0</v>
      </c>
      <c r="G43" s="299">
        <f t="shared" si="14"/>
        <v>0</v>
      </c>
      <c r="H43" s="300">
        <f t="shared" si="14"/>
        <v>0</v>
      </c>
      <c r="I43" s="305">
        <f t="shared" si="14"/>
        <v>0</v>
      </c>
      <c r="J43" s="306">
        <f t="shared" si="2"/>
        <v>0</v>
      </c>
      <c r="K43" s="299"/>
      <c r="L43" s="300">
        <f t="shared" si="3"/>
        <v>-21384.76755687438</v>
      </c>
      <c r="M43" s="305">
        <f t="shared" si="4"/>
        <v>96193.426787612814</v>
      </c>
      <c r="N43" s="307">
        <f t="shared" si="5"/>
        <v>74808.659230738442</v>
      </c>
      <c r="O43" s="299"/>
      <c r="P43" s="308" t="str">
        <f>Données!AC43</f>
        <v/>
      </c>
      <c r="Q43" s="304" t="str">
        <f>Données!AD43</f>
        <v/>
      </c>
      <c r="R43" s="299">
        <f t="shared" si="10"/>
        <v>0</v>
      </c>
      <c r="S43" s="305">
        <f t="shared" si="11"/>
        <v>0</v>
      </c>
      <c r="T43" s="299">
        <f t="shared" si="6"/>
        <v>16185.076957576461</v>
      </c>
      <c r="U43" s="309">
        <f t="shared" si="7"/>
        <v>16185.076957576461</v>
      </c>
    </row>
    <row r="44" spans="1:21" x14ac:dyDescent="0.25">
      <c r="A44" s="156">
        <f>Données!A44</f>
        <v>5476</v>
      </c>
      <c r="B44" s="157" t="str">
        <f>Données!B44</f>
        <v>Chevilly</v>
      </c>
      <c r="C44" s="304">
        <f>Données!C44</f>
        <v>345</v>
      </c>
      <c r="D44" s="300">
        <f t="shared" si="0"/>
        <v>345</v>
      </c>
      <c r="E44" s="300">
        <f t="shared" si="8"/>
        <v>0</v>
      </c>
      <c r="F44" s="305">
        <f t="shared" si="14"/>
        <v>0</v>
      </c>
      <c r="G44" s="299">
        <f t="shared" si="14"/>
        <v>0</v>
      </c>
      <c r="H44" s="300">
        <f t="shared" si="14"/>
        <v>0</v>
      </c>
      <c r="I44" s="305">
        <f t="shared" si="14"/>
        <v>0</v>
      </c>
      <c r="J44" s="306">
        <f t="shared" si="2"/>
        <v>0</v>
      </c>
      <c r="K44" s="299"/>
      <c r="L44" s="300">
        <f t="shared" si="3"/>
        <v>-46110.905044510386</v>
      </c>
      <c r="M44" s="305">
        <f t="shared" si="4"/>
        <v>207417.07651079012</v>
      </c>
      <c r="N44" s="307">
        <f t="shared" si="5"/>
        <v>161306.17146627975</v>
      </c>
      <c r="O44" s="299"/>
      <c r="P44" s="308" t="str">
        <f>Données!AC44</f>
        <v/>
      </c>
      <c r="Q44" s="304" t="str">
        <f>Données!AD44</f>
        <v/>
      </c>
      <c r="R44" s="299">
        <f t="shared" si="10"/>
        <v>0</v>
      </c>
      <c r="S44" s="305">
        <f t="shared" si="11"/>
        <v>0</v>
      </c>
      <c r="T44" s="299">
        <f t="shared" si="6"/>
        <v>34899.072189774248</v>
      </c>
      <c r="U44" s="309">
        <f t="shared" si="7"/>
        <v>34899.072189774248</v>
      </c>
    </row>
    <row r="45" spans="1:21" x14ac:dyDescent="0.25">
      <c r="A45" s="156">
        <f>Données!A45</f>
        <v>5477</v>
      </c>
      <c r="B45" s="157" t="str">
        <f>Données!B45</f>
        <v>Cossonay</v>
      </c>
      <c r="C45" s="304">
        <f>Données!C45</f>
        <v>4974</v>
      </c>
      <c r="D45" s="300">
        <f t="shared" si="0"/>
        <v>1000</v>
      </c>
      <c r="E45" s="300">
        <f t="shared" si="8"/>
        <v>2000</v>
      </c>
      <c r="F45" s="305">
        <f t="shared" si="14"/>
        <v>1974</v>
      </c>
      <c r="G45" s="299">
        <f t="shared" si="14"/>
        <v>0</v>
      </c>
      <c r="H45" s="300">
        <f t="shared" si="14"/>
        <v>0</v>
      </c>
      <c r="I45" s="305">
        <f t="shared" si="14"/>
        <v>0</v>
      </c>
      <c r="J45" s="306">
        <f t="shared" si="2"/>
        <v>0</v>
      </c>
      <c r="K45" s="299"/>
      <c r="L45" s="300">
        <f t="shared" si="3"/>
        <v>-2201294.5103857568</v>
      </c>
      <c r="M45" s="305">
        <f t="shared" si="4"/>
        <v>2990413.1552599133</v>
      </c>
      <c r="N45" s="307">
        <f t="shared" si="5"/>
        <v>789118.64487415645</v>
      </c>
      <c r="O45" s="299"/>
      <c r="P45" s="308" t="str">
        <f>Données!AC45</f>
        <v/>
      </c>
      <c r="Q45" s="304" t="str">
        <f>Données!AD45</f>
        <v/>
      </c>
      <c r="R45" s="299">
        <f t="shared" si="10"/>
        <v>0</v>
      </c>
      <c r="S45" s="305">
        <f t="shared" si="11"/>
        <v>0</v>
      </c>
      <c r="T45" s="299">
        <f t="shared" si="6"/>
        <v>503153.57991865824</v>
      </c>
      <c r="U45" s="309">
        <f t="shared" si="7"/>
        <v>503153.57991865824</v>
      </c>
    </row>
    <row r="46" spans="1:21" x14ac:dyDescent="0.25">
      <c r="A46" s="156">
        <f>Données!A46</f>
        <v>5479</v>
      </c>
      <c r="B46" s="157" t="str">
        <f>Données!B46</f>
        <v>Cuarnens</v>
      </c>
      <c r="C46" s="304">
        <f>Données!C46</f>
        <v>557</v>
      </c>
      <c r="D46" s="300">
        <f t="shared" si="0"/>
        <v>557</v>
      </c>
      <c r="E46" s="300">
        <f t="shared" si="8"/>
        <v>0</v>
      </c>
      <c r="F46" s="305">
        <f t="shared" si="14"/>
        <v>0</v>
      </c>
      <c r="G46" s="299">
        <f t="shared" si="14"/>
        <v>0</v>
      </c>
      <c r="H46" s="300">
        <f t="shared" si="14"/>
        <v>0</v>
      </c>
      <c r="I46" s="305">
        <f t="shared" si="14"/>
        <v>0</v>
      </c>
      <c r="J46" s="306">
        <f t="shared" si="2"/>
        <v>0</v>
      </c>
      <c r="K46" s="299"/>
      <c r="L46" s="300">
        <f t="shared" si="3"/>
        <v>-74445.722057368941</v>
      </c>
      <c r="M46" s="305">
        <f t="shared" si="4"/>
        <v>334873.36700437707</v>
      </c>
      <c r="N46" s="307">
        <f t="shared" si="5"/>
        <v>260427.64494700811</v>
      </c>
      <c r="O46" s="299"/>
      <c r="P46" s="308" t="str">
        <f>Données!AC46</f>
        <v/>
      </c>
      <c r="Q46" s="304" t="str">
        <f>Données!AD46</f>
        <v/>
      </c>
      <c r="R46" s="299">
        <f t="shared" si="10"/>
        <v>0</v>
      </c>
      <c r="S46" s="305">
        <f t="shared" si="11"/>
        <v>0</v>
      </c>
      <c r="T46" s="299">
        <f t="shared" si="6"/>
        <v>56344.299158563059</v>
      </c>
      <c r="U46" s="309">
        <f t="shared" si="7"/>
        <v>56344.299158563059</v>
      </c>
    </row>
    <row r="47" spans="1:21" x14ac:dyDescent="0.25">
      <c r="A47" s="156">
        <f>Données!A47</f>
        <v>5480</v>
      </c>
      <c r="B47" s="157" t="str">
        <f>Données!B47</f>
        <v>Daillens</v>
      </c>
      <c r="C47" s="304">
        <f>Données!C47</f>
        <v>1113</v>
      </c>
      <c r="D47" s="300">
        <f t="shared" si="0"/>
        <v>1000</v>
      </c>
      <c r="E47" s="300">
        <f t="shared" si="8"/>
        <v>113</v>
      </c>
      <c r="F47" s="305">
        <f t="shared" ref="F47:I56" si="15">IF($C47&lt;F$4,0,IF($C47&gt;F$5,F$5-F$4,$C47-F$4))</f>
        <v>0</v>
      </c>
      <c r="G47" s="299">
        <f t="shared" si="15"/>
        <v>0</v>
      </c>
      <c r="H47" s="300">
        <f t="shared" si="15"/>
        <v>0</v>
      </c>
      <c r="I47" s="305">
        <f t="shared" si="15"/>
        <v>0</v>
      </c>
      <c r="J47" s="306">
        <f t="shared" si="2"/>
        <v>0</v>
      </c>
      <c r="K47" s="299"/>
      <c r="L47" s="300">
        <f t="shared" si="3"/>
        <v>-175943.17507418396</v>
      </c>
      <c r="M47" s="305">
        <f t="shared" si="4"/>
        <v>669145.52509133157</v>
      </c>
      <c r="N47" s="307">
        <f t="shared" si="5"/>
        <v>493202.3500171476</v>
      </c>
      <c r="O47" s="299"/>
      <c r="P47" s="308" t="str">
        <f>Données!AC47</f>
        <v/>
      </c>
      <c r="Q47" s="304" t="str">
        <f>Données!AD47</f>
        <v/>
      </c>
      <c r="R47" s="299">
        <f t="shared" si="10"/>
        <v>0</v>
      </c>
      <c r="S47" s="305">
        <f t="shared" si="11"/>
        <v>0</v>
      </c>
      <c r="T47" s="299">
        <f t="shared" si="6"/>
        <v>112587.44158614126</v>
      </c>
      <c r="U47" s="309">
        <f t="shared" si="7"/>
        <v>112587.44158614126</v>
      </c>
    </row>
    <row r="48" spans="1:21" x14ac:dyDescent="0.25">
      <c r="A48" s="156">
        <f>Données!A48</f>
        <v>5481</v>
      </c>
      <c r="B48" s="157" t="str">
        <f>Données!B48</f>
        <v>Dizy</v>
      </c>
      <c r="C48" s="304">
        <f>Données!C48</f>
        <v>239</v>
      </c>
      <c r="D48" s="300">
        <f t="shared" si="0"/>
        <v>239</v>
      </c>
      <c r="E48" s="300">
        <f t="shared" si="8"/>
        <v>0</v>
      </c>
      <c r="F48" s="305">
        <f t="shared" si="15"/>
        <v>0</v>
      </c>
      <c r="G48" s="299">
        <f t="shared" si="15"/>
        <v>0</v>
      </c>
      <c r="H48" s="300">
        <f t="shared" si="15"/>
        <v>0</v>
      </c>
      <c r="I48" s="305">
        <f t="shared" si="15"/>
        <v>0</v>
      </c>
      <c r="J48" s="306">
        <f t="shared" si="2"/>
        <v>0</v>
      </c>
      <c r="K48" s="299"/>
      <c r="L48" s="300">
        <f t="shared" si="3"/>
        <v>-31943.496538081105</v>
      </c>
      <c r="M48" s="305">
        <f t="shared" si="4"/>
        <v>143688.93126399664</v>
      </c>
      <c r="N48" s="307">
        <f t="shared" si="5"/>
        <v>111745.43472591553</v>
      </c>
      <c r="O48" s="299"/>
      <c r="P48" s="308" t="str">
        <f>Données!AC48</f>
        <v/>
      </c>
      <c r="Q48" s="304" t="str">
        <f>Données!AD48</f>
        <v/>
      </c>
      <c r="R48" s="299">
        <f t="shared" si="10"/>
        <v>0</v>
      </c>
      <c r="S48" s="305">
        <f t="shared" si="11"/>
        <v>0</v>
      </c>
      <c r="T48" s="299">
        <f t="shared" si="6"/>
        <v>24176.458705379839</v>
      </c>
      <c r="U48" s="309">
        <f t="shared" si="7"/>
        <v>24176.458705379839</v>
      </c>
    </row>
    <row r="49" spans="1:21" x14ac:dyDescent="0.25">
      <c r="A49" s="156">
        <f>Données!A49</f>
        <v>5482</v>
      </c>
      <c r="B49" s="157" t="str">
        <f>Données!B49</f>
        <v>Eclépens</v>
      </c>
      <c r="C49" s="304">
        <f>Données!C49</f>
        <v>1202</v>
      </c>
      <c r="D49" s="300">
        <f t="shared" si="0"/>
        <v>1000</v>
      </c>
      <c r="E49" s="300">
        <f t="shared" si="8"/>
        <v>202</v>
      </c>
      <c r="F49" s="305">
        <f t="shared" si="15"/>
        <v>0</v>
      </c>
      <c r="G49" s="299">
        <f t="shared" si="15"/>
        <v>0</v>
      </c>
      <c r="H49" s="300">
        <f t="shared" si="15"/>
        <v>0</v>
      </c>
      <c r="I49" s="305">
        <f t="shared" si="15"/>
        <v>0</v>
      </c>
      <c r="J49" s="306">
        <f t="shared" si="2"/>
        <v>0</v>
      </c>
      <c r="K49" s="299"/>
      <c r="L49" s="300">
        <f t="shared" si="3"/>
        <v>-209249.9505440158</v>
      </c>
      <c r="M49" s="305">
        <f t="shared" si="4"/>
        <v>722653.11874194117</v>
      </c>
      <c r="N49" s="307">
        <f t="shared" si="5"/>
        <v>513403.16819792538</v>
      </c>
      <c r="O49" s="299"/>
      <c r="P49" s="308" t="str">
        <f>Données!AC49</f>
        <v/>
      </c>
      <c r="Q49" s="304" t="str">
        <f>Données!AD49</f>
        <v/>
      </c>
      <c r="R49" s="299">
        <f t="shared" si="10"/>
        <v>0</v>
      </c>
      <c r="S49" s="305">
        <f t="shared" si="11"/>
        <v>0</v>
      </c>
      <c r="T49" s="299">
        <f t="shared" si="6"/>
        <v>121590.39064379317</v>
      </c>
      <c r="U49" s="309">
        <f t="shared" si="7"/>
        <v>121590.39064379317</v>
      </c>
    </row>
    <row r="50" spans="1:21" x14ac:dyDescent="0.25">
      <c r="A50" s="156">
        <f>Données!A50</f>
        <v>5483</v>
      </c>
      <c r="B50" s="157" t="str">
        <f>Données!B50</f>
        <v>Ferreyres</v>
      </c>
      <c r="C50" s="304">
        <f>Données!C50</f>
        <v>308</v>
      </c>
      <c r="D50" s="300">
        <f t="shared" si="0"/>
        <v>308</v>
      </c>
      <c r="E50" s="300">
        <f t="shared" si="8"/>
        <v>0</v>
      </c>
      <c r="F50" s="305">
        <f t="shared" si="15"/>
        <v>0</v>
      </c>
      <c r="G50" s="299">
        <f t="shared" si="15"/>
        <v>0</v>
      </c>
      <c r="H50" s="300">
        <f t="shared" si="15"/>
        <v>0</v>
      </c>
      <c r="I50" s="305">
        <f t="shared" si="15"/>
        <v>0</v>
      </c>
      <c r="J50" s="306">
        <f t="shared" si="2"/>
        <v>0</v>
      </c>
      <c r="K50" s="299"/>
      <c r="L50" s="300">
        <f t="shared" si="3"/>
        <v>-41165.677546983185</v>
      </c>
      <c r="M50" s="305">
        <f t="shared" si="4"/>
        <v>185172.34656615465</v>
      </c>
      <c r="N50" s="307">
        <f t="shared" si="5"/>
        <v>144006.66901917147</v>
      </c>
      <c r="O50" s="299"/>
      <c r="P50" s="308" t="str">
        <f>Données!AC50</f>
        <v/>
      </c>
      <c r="Q50" s="304" t="str">
        <f>Données!AD50</f>
        <v/>
      </c>
      <c r="R50" s="299">
        <f t="shared" si="10"/>
        <v>0</v>
      </c>
      <c r="S50" s="305">
        <f t="shared" si="11"/>
        <v>0</v>
      </c>
      <c r="T50" s="299">
        <f t="shared" si="6"/>
        <v>31156.273143334689</v>
      </c>
      <c r="U50" s="309">
        <f t="shared" si="7"/>
        <v>31156.273143334689</v>
      </c>
    </row>
    <row r="51" spans="1:21" x14ac:dyDescent="0.25">
      <c r="A51" s="156">
        <f>Données!A51</f>
        <v>5484</v>
      </c>
      <c r="B51" s="157" t="str">
        <f>Données!B51</f>
        <v>Gollion</v>
      </c>
      <c r="C51" s="304">
        <f>Données!C51</f>
        <v>1091</v>
      </c>
      <c r="D51" s="300">
        <f t="shared" si="0"/>
        <v>1000</v>
      </c>
      <c r="E51" s="300">
        <f t="shared" si="8"/>
        <v>91</v>
      </c>
      <c r="F51" s="305">
        <f t="shared" si="15"/>
        <v>0</v>
      </c>
      <c r="G51" s="299">
        <f t="shared" si="15"/>
        <v>0</v>
      </c>
      <c r="H51" s="300">
        <f t="shared" si="15"/>
        <v>0</v>
      </c>
      <c r="I51" s="305">
        <f t="shared" si="15"/>
        <v>0</v>
      </c>
      <c r="J51" s="306">
        <f t="shared" si="2"/>
        <v>0</v>
      </c>
      <c r="K51" s="299"/>
      <c r="L51" s="300">
        <f t="shared" si="3"/>
        <v>-167710.03956478732</v>
      </c>
      <c r="M51" s="305">
        <f t="shared" si="4"/>
        <v>655918.92890803481</v>
      </c>
      <c r="N51" s="307">
        <f t="shared" si="5"/>
        <v>488208.88934324752</v>
      </c>
      <c r="O51" s="299"/>
      <c r="P51" s="308" t="str">
        <f>Données!AC51</f>
        <v/>
      </c>
      <c r="Q51" s="304" t="str">
        <f>Données!AD51</f>
        <v/>
      </c>
      <c r="R51" s="299">
        <f t="shared" si="10"/>
        <v>0</v>
      </c>
      <c r="S51" s="305">
        <f t="shared" si="11"/>
        <v>0</v>
      </c>
      <c r="T51" s="299">
        <f t="shared" si="6"/>
        <v>110361.99350447449</v>
      </c>
      <c r="U51" s="309">
        <f t="shared" si="7"/>
        <v>110361.99350447449</v>
      </c>
    </row>
    <row r="52" spans="1:21" x14ac:dyDescent="0.25">
      <c r="A52" s="156">
        <f>Données!A52</f>
        <v>5485</v>
      </c>
      <c r="B52" s="157" t="str">
        <f>Données!B52</f>
        <v>Grancy</v>
      </c>
      <c r="C52" s="304">
        <f>Données!C52</f>
        <v>541</v>
      </c>
      <c r="D52" s="300">
        <f t="shared" si="0"/>
        <v>541</v>
      </c>
      <c r="E52" s="300">
        <f t="shared" si="8"/>
        <v>0</v>
      </c>
      <c r="F52" s="305">
        <f t="shared" si="15"/>
        <v>0</v>
      </c>
      <c r="G52" s="299">
        <f t="shared" si="15"/>
        <v>0</v>
      </c>
      <c r="H52" s="300">
        <f t="shared" si="15"/>
        <v>0</v>
      </c>
      <c r="I52" s="305">
        <f t="shared" si="15"/>
        <v>0</v>
      </c>
      <c r="J52" s="306">
        <f t="shared" si="2"/>
        <v>0</v>
      </c>
      <c r="K52" s="299"/>
      <c r="L52" s="300">
        <f t="shared" si="3"/>
        <v>-72307.245301681498</v>
      </c>
      <c r="M52" s="305">
        <f t="shared" si="4"/>
        <v>325254.02432561578</v>
      </c>
      <c r="N52" s="307">
        <f t="shared" si="5"/>
        <v>252946.77902393427</v>
      </c>
      <c r="O52" s="299"/>
      <c r="P52" s="308" t="str">
        <f>Données!AC52</f>
        <v/>
      </c>
      <c r="Q52" s="304" t="str">
        <f>Données!AD52</f>
        <v/>
      </c>
      <c r="R52" s="299">
        <f t="shared" si="10"/>
        <v>0</v>
      </c>
      <c r="S52" s="305">
        <f t="shared" si="11"/>
        <v>0</v>
      </c>
      <c r="T52" s="299">
        <f t="shared" si="6"/>
        <v>54725.791462805413</v>
      </c>
      <c r="U52" s="309">
        <f t="shared" si="7"/>
        <v>54725.791462805413</v>
      </c>
    </row>
    <row r="53" spans="1:21" x14ac:dyDescent="0.25">
      <c r="A53" s="156">
        <f>Données!A53</f>
        <v>5486</v>
      </c>
      <c r="B53" s="157" t="str">
        <f>Données!B53</f>
        <v>L'Isle</v>
      </c>
      <c r="C53" s="304">
        <f>Données!C53</f>
        <v>1106</v>
      </c>
      <c r="D53" s="300">
        <f t="shared" si="0"/>
        <v>1000</v>
      </c>
      <c r="E53" s="300">
        <f t="shared" si="8"/>
        <v>106</v>
      </c>
      <c r="F53" s="305">
        <f t="shared" si="15"/>
        <v>0</v>
      </c>
      <c r="G53" s="299">
        <f t="shared" si="15"/>
        <v>0</v>
      </c>
      <c r="H53" s="300">
        <f t="shared" si="15"/>
        <v>0</v>
      </c>
      <c r="I53" s="305">
        <f t="shared" si="15"/>
        <v>0</v>
      </c>
      <c r="J53" s="306">
        <f t="shared" si="2"/>
        <v>0</v>
      </c>
      <c r="K53" s="299"/>
      <c r="L53" s="300">
        <f t="shared" si="3"/>
        <v>-173323.54104846687</v>
      </c>
      <c r="M53" s="305">
        <f t="shared" si="4"/>
        <v>664937.06266937358</v>
      </c>
      <c r="N53" s="307">
        <f t="shared" si="5"/>
        <v>491613.52162090671</v>
      </c>
      <c r="O53" s="299"/>
      <c r="P53" s="308" t="str">
        <f>Données!AC53</f>
        <v/>
      </c>
      <c r="Q53" s="304" t="str">
        <f>Données!AD53</f>
        <v/>
      </c>
      <c r="R53" s="299">
        <f t="shared" si="10"/>
        <v>0</v>
      </c>
      <c r="S53" s="305">
        <f t="shared" si="11"/>
        <v>0</v>
      </c>
      <c r="T53" s="299">
        <f t="shared" si="6"/>
        <v>111879.34446924728</v>
      </c>
      <c r="U53" s="309">
        <f t="shared" si="7"/>
        <v>111879.34446924728</v>
      </c>
    </row>
    <row r="54" spans="1:21" x14ac:dyDescent="0.25">
      <c r="A54" s="156">
        <f>Données!A54</f>
        <v>5487</v>
      </c>
      <c r="B54" s="157" t="str">
        <f>Données!B54</f>
        <v>Lussery-Villars</v>
      </c>
      <c r="C54" s="304">
        <f>Données!C54</f>
        <v>469</v>
      </c>
      <c r="D54" s="300">
        <f t="shared" si="0"/>
        <v>469</v>
      </c>
      <c r="E54" s="300">
        <f t="shared" si="8"/>
        <v>0</v>
      </c>
      <c r="F54" s="305">
        <f t="shared" si="15"/>
        <v>0</v>
      </c>
      <c r="G54" s="299">
        <f t="shared" si="15"/>
        <v>0</v>
      </c>
      <c r="H54" s="300">
        <f t="shared" si="15"/>
        <v>0</v>
      </c>
      <c r="I54" s="305">
        <f t="shared" si="15"/>
        <v>0</v>
      </c>
      <c r="J54" s="306">
        <f t="shared" si="2"/>
        <v>0</v>
      </c>
      <c r="K54" s="299"/>
      <c r="L54" s="300">
        <f t="shared" si="3"/>
        <v>-62684.099901088026</v>
      </c>
      <c r="M54" s="305">
        <f t="shared" si="4"/>
        <v>281966.98227119003</v>
      </c>
      <c r="N54" s="307">
        <f t="shared" si="5"/>
        <v>219282.88237010202</v>
      </c>
      <c r="O54" s="299"/>
      <c r="P54" s="308" t="str">
        <f>Données!AC54</f>
        <v/>
      </c>
      <c r="Q54" s="304" t="str">
        <f>Données!AD54</f>
        <v/>
      </c>
      <c r="R54" s="299">
        <f t="shared" si="10"/>
        <v>0</v>
      </c>
      <c r="S54" s="305">
        <f t="shared" si="11"/>
        <v>0</v>
      </c>
      <c r="T54" s="299">
        <f t="shared" si="6"/>
        <v>47442.506831896004</v>
      </c>
      <c r="U54" s="309">
        <f t="shared" si="7"/>
        <v>47442.506831896004</v>
      </c>
    </row>
    <row r="55" spans="1:21" x14ac:dyDescent="0.25">
      <c r="A55" s="156">
        <f>Données!A55</f>
        <v>5488</v>
      </c>
      <c r="B55" s="157" t="str">
        <f>Données!B55</f>
        <v>Mauraz</v>
      </c>
      <c r="C55" s="304">
        <f>Données!C55</f>
        <v>74</v>
      </c>
      <c r="D55" s="300">
        <f t="shared" si="0"/>
        <v>74</v>
      </c>
      <c r="E55" s="300">
        <f t="shared" si="8"/>
        <v>0</v>
      </c>
      <c r="F55" s="305">
        <f t="shared" si="15"/>
        <v>0</v>
      </c>
      <c r="G55" s="299">
        <f t="shared" si="15"/>
        <v>0</v>
      </c>
      <c r="H55" s="300">
        <f t="shared" si="15"/>
        <v>0</v>
      </c>
      <c r="I55" s="305">
        <f t="shared" si="15"/>
        <v>0</v>
      </c>
      <c r="J55" s="306">
        <f t="shared" si="2"/>
        <v>0</v>
      </c>
      <c r="K55" s="299"/>
      <c r="L55" s="300">
        <f t="shared" si="3"/>
        <v>-9890.4549950544006</v>
      </c>
      <c r="M55" s="305">
        <f t="shared" si="4"/>
        <v>44489.459889270925</v>
      </c>
      <c r="N55" s="307">
        <f t="shared" si="5"/>
        <v>34599.004894216523</v>
      </c>
      <c r="O55" s="299"/>
      <c r="P55" s="308" t="str">
        <f>Données!AC55</f>
        <v/>
      </c>
      <c r="Q55" s="304" t="str">
        <f>Données!AD55</f>
        <v/>
      </c>
      <c r="R55" s="299">
        <f t="shared" si="10"/>
        <v>0</v>
      </c>
      <c r="S55" s="305">
        <f t="shared" si="11"/>
        <v>0</v>
      </c>
      <c r="T55" s="299">
        <f t="shared" si="6"/>
        <v>7485.5980928791132</v>
      </c>
      <c r="U55" s="309">
        <f t="shared" si="7"/>
        <v>7485.5980928791132</v>
      </c>
    </row>
    <row r="56" spans="1:21" x14ac:dyDescent="0.25">
      <c r="A56" s="156">
        <f>Données!A56</f>
        <v>5489</v>
      </c>
      <c r="B56" s="157" t="str">
        <f>Données!B56</f>
        <v>Mex</v>
      </c>
      <c r="C56" s="304">
        <f>Données!C56</f>
        <v>828</v>
      </c>
      <c r="D56" s="300">
        <f t="shared" si="0"/>
        <v>828</v>
      </c>
      <c r="E56" s="300">
        <f t="shared" si="8"/>
        <v>0</v>
      </c>
      <c r="F56" s="305">
        <f t="shared" si="15"/>
        <v>0</v>
      </c>
      <c r="G56" s="299">
        <f t="shared" si="15"/>
        <v>0</v>
      </c>
      <c r="H56" s="300">
        <f t="shared" si="15"/>
        <v>0</v>
      </c>
      <c r="I56" s="305">
        <f t="shared" si="15"/>
        <v>0</v>
      </c>
      <c r="J56" s="306">
        <f t="shared" si="2"/>
        <v>0</v>
      </c>
      <c r="K56" s="299"/>
      <c r="L56" s="300">
        <f t="shared" si="3"/>
        <v>-110666.17210682492</v>
      </c>
      <c r="M56" s="305">
        <f t="shared" si="4"/>
        <v>497800.98362589628</v>
      </c>
      <c r="N56" s="307">
        <f t="shared" si="5"/>
        <v>387134.81151907134</v>
      </c>
      <c r="O56" s="299"/>
      <c r="P56" s="308" t="str">
        <f>Données!AC56</f>
        <v/>
      </c>
      <c r="Q56" s="304" t="str">
        <f>Données!AD56</f>
        <v/>
      </c>
      <c r="R56" s="299">
        <f t="shared" si="10"/>
        <v>0</v>
      </c>
      <c r="S56" s="305">
        <f t="shared" si="11"/>
        <v>0</v>
      </c>
      <c r="T56" s="299">
        <f t="shared" si="6"/>
        <v>83757.773255458189</v>
      </c>
      <c r="U56" s="309">
        <f t="shared" si="7"/>
        <v>83757.773255458189</v>
      </c>
    </row>
    <row r="57" spans="1:21" x14ac:dyDescent="0.25">
      <c r="A57" s="156">
        <f>Données!A57</f>
        <v>5490</v>
      </c>
      <c r="B57" s="157" t="str">
        <f>Données!B57</f>
        <v>Moiry</v>
      </c>
      <c r="C57" s="304">
        <f>Données!C57</f>
        <v>295</v>
      </c>
      <c r="D57" s="300">
        <f t="shared" si="0"/>
        <v>295</v>
      </c>
      <c r="E57" s="300">
        <f t="shared" si="8"/>
        <v>0</v>
      </c>
      <c r="F57" s="305">
        <f t="shared" ref="F57:I66" si="16">IF($C57&lt;F$4,0,IF($C57&gt;F$5,F$5-F$4,$C57-F$4))</f>
        <v>0</v>
      </c>
      <c r="G57" s="299">
        <f t="shared" si="16"/>
        <v>0</v>
      </c>
      <c r="H57" s="300">
        <f t="shared" si="16"/>
        <v>0</v>
      </c>
      <c r="I57" s="305">
        <f t="shared" si="16"/>
        <v>0</v>
      </c>
      <c r="J57" s="306">
        <f t="shared" si="2"/>
        <v>0</v>
      </c>
      <c r="K57" s="299"/>
      <c r="L57" s="300">
        <f t="shared" si="3"/>
        <v>-39428.165182987141</v>
      </c>
      <c r="M57" s="305">
        <f t="shared" si="4"/>
        <v>177356.6306396611</v>
      </c>
      <c r="N57" s="307">
        <f t="shared" si="5"/>
        <v>137928.46545667396</v>
      </c>
      <c r="O57" s="299"/>
      <c r="P57" s="308" t="str">
        <f>Données!AC57</f>
        <v/>
      </c>
      <c r="Q57" s="304" t="str">
        <f>Données!AD57</f>
        <v/>
      </c>
      <c r="R57" s="299">
        <f t="shared" si="10"/>
        <v>0</v>
      </c>
      <c r="S57" s="305">
        <f t="shared" si="11"/>
        <v>0</v>
      </c>
      <c r="T57" s="299">
        <f t="shared" si="6"/>
        <v>29841.235640531602</v>
      </c>
      <c r="U57" s="309">
        <f t="shared" si="7"/>
        <v>29841.235640531602</v>
      </c>
    </row>
    <row r="58" spans="1:21" x14ac:dyDescent="0.25">
      <c r="A58" s="156">
        <f>Données!A58</f>
        <v>5491</v>
      </c>
      <c r="B58" s="157" t="str">
        <f>Données!B58</f>
        <v>Mont-la-Ville</v>
      </c>
      <c r="C58" s="304">
        <f>Données!C58</f>
        <v>504</v>
      </c>
      <c r="D58" s="300">
        <f t="shared" si="0"/>
        <v>504</v>
      </c>
      <c r="E58" s="300">
        <f t="shared" si="8"/>
        <v>0</v>
      </c>
      <c r="F58" s="305">
        <f t="shared" si="16"/>
        <v>0</v>
      </c>
      <c r="G58" s="299">
        <f t="shared" si="16"/>
        <v>0</v>
      </c>
      <c r="H58" s="300">
        <f t="shared" si="16"/>
        <v>0</v>
      </c>
      <c r="I58" s="305">
        <f t="shared" si="16"/>
        <v>0</v>
      </c>
      <c r="J58" s="306">
        <f t="shared" si="2"/>
        <v>0</v>
      </c>
      <c r="K58" s="299"/>
      <c r="L58" s="300">
        <f t="shared" si="3"/>
        <v>-67362.017804154297</v>
      </c>
      <c r="M58" s="305">
        <f t="shared" si="4"/>
        <v>303009.29438098037</v>
      </c>
      <c r="N58" s="307">
        <f t="shared" si="5"/>
        <v>235647.27657682606</v>
      </c>
      <c r="O58" s="299"/>
      <c r="P58" s="308" t="str">
        <f>Données!AC58</f>
        <v/>
      </c>
      <c r="Q58" s="304" t="str">
        <f>Données!AD58</f>
        <v/>
      </c>
      <c r="R58" s="299">
        <f t="shared" si="10"/>
        <v>0</v>
      </c>
      <c r="S58" s="305">
        <f t="shared" si="11"/>
        <v>0</v>
      </c>
      <c r="T58" s="299">
        <f t="shared" si="6"/>
        <v>50982.992416365851</v>
      </c>
      <c r="U58" s="309">
        <f t="shared" si="7"/>
        <v>50982.992416365851</v>
      </c>
    </row>
    <row r="59" spans="1:21" x14ac:dyDescent="0.25">
      <c r="A59" s="156">
        <f>Données!A59</f>
        <v>5492</v>
      </c>
      <c r="B59" s="157" t="str">
        <f>Données!B59</f>
        <v>Montricher</v>
      </c>
      <c r="C59" s="304">
        <f>Données!C59</f>
        <v>947</v>
      </c>
      <c r="D59" s="300">
        <f t="shared" si="0"/>
        <v>947</v>
      </c>
      <c r="E59" s="300">
        <f t="shared" si="8"/>
        <v>0</v>
      </c>
      <c r="F59" s="305">
        <f t="shared" si="16"/>
        <v>0</v>
      </c>
      <c r="G59" s="299">
        <f t="shared" si="16"/>
        <v>0</v>
      </c>
      <c r="H59" s="300">
        <f t="shared" si="16"/>
        <v>0</v>
      </c>
      <c r="I59" s="305">
        <f t="shared" si="16"/>
        <v>0</v>
      </c>
      <c r="J59" s="306">
        <f t="shared" si="2"/>
        <v>0</v>
      </c>
      <c r="K59" s="299"/>
      <c r="L59" s="300">
        <f t="shared" si="3"/>
        <v>-126571.09297725024</v>
      </c>
      <c r="M59" s="305">
        <f t="shared" si="4"/>
        <v>569344.84479918331</v>
      </c>
      <c r="N59" s="307">
        <f t="shared" si="5"/>
        <v>442773.75182193308</v>
      </c>
      <c r="O59" s="299"/>
      <c r="P59" s="308" t="str">
        <f>Données!AC59</f>
        <v/>
      </c>
      <c r="Q59" s="304" t="str">
        <f>Données!AD59</f>
        <v/>
      </c>
      <c r="R59" s="299">
        <f t="shared" si="10"/>
        <v>0</v>
      </c>
      <c r="S59" s="305">
        <f t="shared" si="11"/>
        <v>0</v>
      </c>
      <c r="T59" s="299">
        <f t="shared" si="6"/>
        <v>95795.424242655688</v>
      </c>
      <c r="U59" s="309">
        <f t="shared" si="7"/>
        <v>95795.424242655688</v>
      </c>
    </row>
    <row r="60" spans="1:21" x14ac:dyDescent="0.25">
      <c r="A60" s="156">
        <f>Données!A60</f>
        <v>5493</v>
      </c>
      <c r="B60" s="157" t="str">
        <f>Données!B60</f>
        <v>Orny</v>
      </c>
      <c r="C60" s="304">
        <f>Données!C60</f>
        <v>525</v>
      </c>
      <c r="D60" s="300">
        <f t="shared" si="0"/>
        <v>525</v>
      </c>
      <c r="E60" s="300">
        <f t="shared" si="8"/>
        <v>0</v>
      </c>
      <c r="F60" s="305">
        <f t="shared" si="16"/>
        <v>0</v>
      </c>
      <c r="G60" s="299">
        <f t="shared" si="16"/>
        <v>0</v>
      </c>
      <c r="H60" s="300">
        <f t="shared" si="16"/>
        <v>0</v>
      </c>
      <c r="I60" s="305">
        <f t="shared" si="16"/>
        <v>0</v>
      </c>
      <c r="J60" s="306">
        <f t="shared" si="2"/>
        <v>0</v>
      </c>
      <c r="K60" s="299"/>
      <c r="L60" s="300">
        <f t="shared" si="3"/>
        <v>-70168.768545994055</v>
      </c>
      <c r="M60" s="305">
        <f t="shared" si="4"/>
        <v>315634.6816468545</v>
      </c>
      <c r="N60" s="307">
        <f t="shared" si="5"/>
        <v>245465.91310086043</v>
      </c>
      <c r="O60" s="299"/>
      <c r="P60" s="308" t="str">
        <f>Données!AC60</f>
        <v/>
      </c>
      <c r="Q60" s="304" t="str">
        <f>Données!AD60</f>
        <v/>
      </c>
      <c r="R60" s="299">
        <f t="shared" si="10"/>
        <v>0</v>
      </c>
      <c r="S60" s="305">
        <f t="shared" si="11"/>
        <v>0</v>
      </c>
      <c r="T60" s="299">
        <f t="shared" si="6"/>
        <v>53107.283767047767</v>
      </c>
      <c r="U60" s="309">
        <f t="shared" si="7"/>
        <v>53107.283767047767</v>
      </c>
    </row>
    <row r="61" spans="1:21" x14ac:dyDescent="0.25">
      <c r="A61" s="156">
        <f>Données!A61</f>
        <v>5495</v>
      </c>
      <c r="B61" s="157" t="str">
        <f>Données!B61</f>
        <v>Penthalaz</v>
      </c>
      <c r="C61" s="304">
        <f>Données!C61</f>
        <v>3199</v>
      </c>
      <c r="D61" s="300">
        <f t="shared" si="0"/>
        <v>1000</v>
      </c>
      <c r="E61" s="300">
        <f t="shared" si="8"/>
        <v>2000</v>
      </c>
      <c r="F61" s="305">
        <f t="shared" si="16"/>
        <v>199</v>
      </c>
      <c r="G61" s="299">
        <f t="shared" si="16"/>
        <v>0</v>
      </c>
      <c r="H61" s="300">
        <f t="shared" si="16"/>
        <v>0</v>
      </c>
      <c r="I61" s="305">
        <f t="shared" si="16"/>
        <v>0</v>
      </c>
      <c r="J61" s="306">
        <f t="shared" si="2"/>
        <v>0</v>
      </c>
      <c r="K61" s="299"/>
      <c r="L61" s="300">
        <f t="shared" si="3"/>
        <v>-1015108.1849653808</v>
      </c>
      <c r="M61" s="305">
        <f t="shared" si="4"/>
        <v>1923267.3268348335</v>
      </c>
      <c r="N61" s="307">
        <f t="shared" si="5"/>
        <v>908159.14186945267</v>
      </c>
      <c r="O61" s="299"/>
      <c r="P61" s="308" t="str">
        <f>Données!AC61</f>
        <v/>
      </c>
      <c r="Q61" s="304" t="str">
        <f>Données!AD61</f>
        <v/>
      </c>
      <c r="R61" s="299">
        <f t="shared" si="10"/>
        <v>0</v>
      </c>
      <c r="S61" s="305">
        <f t="shared" si="11"/>
        <v>0</v>
      </c>
      <c r="T61" s="299">
        <f t="shared" si="6"/>
        <v>323600.3824205444</v>
      </c>
      <c r="U61" s="309">
        <f t="shared" si="7"/>
        <v>323600.3824205444</v>
      </c>
    </row>
    <row r="62" spans="1:21" x14ac:dyDescent="0.25">
      <c r="A62" s="156">
        <f>Données!A62</f>
        <v>5496</v>
      </c>
      <c r="B62" s="157" t="str">
        <f>Données!B62</f>
        <v>Penthaz</v>
      </c>
      <c r="C62" s="304">
        <f>Données!C62</f>
        <v>1910</v>
      </c>
      <c r="D62" s="300">
        <f t="shared" si="0"/>
        <v>1000</v>
      </c>
      <c r="E62" s="300">
        <f t="shared" si="8"/>
        <v>910</v>
      </c>
      <c r="F62" s="305">
        <f t="shared" si="16"/>
        <v>0</v>
      </c>
      <c r="G62" s="299">
        <f t="shared" si="16"/>
        <v>0</v>
      </c>
      <c r="H62" s="300">
        <f t="shared" si="16"/>
        <v>0</v>
      </c>
      <c r="I62" s="305">
        <f t="shared" si="16"/>
        <v>0</v>
      </c>
      <c r="J62" s="306">
        <f t="shared" si="2"/>
        <v>0</v>
      </c>
      <c r="K62" s="299"/>
      <c r="L62" s="300">
        <f t="shared" si="3"/>
        <v>-474207.22057368938</v>
      </c>
      <c r="M62" s="305">
        <f t="shared" si="4"/>
        <v>1148309.032277128</v>
      </c>
      <c r="N62" s="307">
        <f t="shared" si="5"/>
        <v>674101.81170343864</v>
      </c>
      <c r="O62" s="299"/>
      <c r="P62" s="308" t="str">
        <f>Données!AC62</f>
        <v/>
      </c>
      <c r="Q62" s="304" t="str">
        <f>Données!AD62</f>
        <v/>
      </c>
      <c r="R62" s="299">
        <f t="shared" si="10"/>
        <v>0</v>
      </c>
      <c r="S62" s="305">
        <f t="shared" si="11"/>
        <v>0</v>
      </c>
      <c r="T62" s="299">
        <f t="shared" si="6"/>
        <v>193209.35618106902</v>
      </c>
      <c r="U62" s="309">
        <f t="shared" si="7"/>
        <v>193209.35618106902</v>
      </c>
    </row>
    <row r="63" spans="1:21" x14ac:dyDescent="0.25">
      <c r="A63" s="156">
        <f>Données!A63</f>
        <v>5497</v>
      </c>
      <c r="B63" s="157" t="str">
        <f>Données!B63</f>
        <v>Pompaples</v>
      </c>
      <c r="C63" s="304">
        <f>Données!C63</f>
        <v>917</v>
      </c>
      <c r="D63" s="300">
        <f t="shared" si="0"/>
        <v>917</v>
      </c>
      <c r="E63" s="300">
        <f t="shared" si="8"/>
        <v>0</v>
      </c>
      <c r="F63" s="305">
        <f t="shared" si="16"/>
        <v>0</v>
      </c>
      <c r="G63" s="299">
        <f t="shared" si="16"/>
        <v>0</v>
      </c>
      <c r="H63" s="300">
        <f t="shared" si="16"/>
        <v>0</v>
      </c>
      <c r="I63" s="305">
        <f t="shared" si="16"/>
        <v>0</v>
      </c>
      <c r="J63" s="306">
        <f t="shared" si="2"/>
        <v>0</v>
      </c>
      <c r="K63" s="299"/>
      <c r="L63" s="300">
        <f t="shared" si="3"/>
        <v>-122561.44906033629</v>
      </c>
      <c r="M63" s="305">
        <f t="shared" si="4"/>
        <v>551308.57727650588</v>
      </c>
      <c r="N63" s="307">
        <f t="shared" si="5"/>
        <v>428747.1282161696</v>
      </c>
      <c r="O63" s="299"/>
      <c r="P63" s="308" t="str">
        <f>Données!AC63</f>
        <v/>
      </c>
      <c r="Q63" s="304" t="str">
        <f>Données!AD63</f>
        <v/>
      </c>
      <c r="R63" s="299">
        <f t="shared" si="10"/>
        <v>0</v>
      </c>
      <c r="S63" s="305">
        <f t="shared" si="11"/>
        <v>0</v>
      </c>
      <c r="T63" s="299">
        <f t="shared" si="6"/>
        <v>92760.722313110091</v>
      </c>
      <c r="U63" s="309">
        <f t="shared" si="7"/>
        <v>92760.722313110091</v>
      </c>
    </row>
    <row r="64" spans="1:21" x14ac:dyDescent="0.25">
      <c r="A64" s="156">
        <f>Données!A64</f>
        <v>5498</v>
      </c>
      <c r="B64" s="157" t="str">
        <f>Données!B64</f>
        <v>La Sarraz</v>
      </c>
      <c r="C64" s="304">
        <f>Données!C64</f>
        <v>2609</v>
      </c>
      <c r="D64" s="300">
        <f t="shared" si="0"/>
        <v>1000</v>
      </c>
      <c r="E64" s="300">
        <f t="shared" si="8"/>
        <v>1609</v>
      </c>
      <c r="F64" s="305">
        <f t="shared" si="16"/>
        <v>0</v>
      </c>
      <c r="G64" s="299">
        <f t="shared" si="16"/>
        <v>0</v>
      </c>
      <c r="H64" s="300">
        <f t="shared" si="16"/>
        <v>0</v>
      </c>
      <c r="I64" s="305">
        <f t="shared" si="16"/>
        <v>0</v>
      </c>
      <c r="J64" s="306">
        <f t="shared" si="2"/>
        <v>0</v>
      </c>
      <c r="K64" s="299"/>
      <c r="L64" s="300">
        <f t="shared" si="3"/>
        <v>-735796.38971315534</v>
      </c>
      <c r="M64" s="305">
        <f t="shared" si="4"/>
        <v>1568554.0655555113</v>
      </c>
      <c r="N64" s="307">
        <f t="shared" si="5"/>
        <v>832757.67584235594</v>
      </c>
      <c r="O64" s="299"/>
      <c r="P64" s="308" t="str">
        <f>Données!AC64</f>
        <v/>
      </c>
      <c r="Q64" s="304" t="str">
        <f>Données!AD64</f>
        <v/>
      </c>
      <c r="R64" s="299">
        <f t="shared" si="10"/>
        <v>0</v>
      </c>
      <c r="S64" s="305">
        <f t="shared" si="11"/>
        <v>0</v>
      </c>
      <c r="T64" s="299">
        <f t="shared" si="6"/>
        <v>263917.91113948118</v>
      </c>
      <c r="U64" s="309">
        <f t="shared" si="7"/>
        <v>263917.91113948118</v>
      </c>
    </row>
    <row r="65" spans="1:21" x14ac:dyDescent="0.25">
      <c r="A65" s="156">
        <f>Données!A65</f>
        <v>5499</v>
      </c>
      <c r="B65" s="157" t="str">
        <f>Données!B65</f>
        <v>Senarclens</v>
      </c>
      <c r="C65" s="304">
        <f>Données!C65</f>
        <v>505</v>
      </c>
      <c r="D65" s="300">
        <f t="shared" si="0"/>
        <v>505</v>
      </c>
      <c r="E65" s="300">
        <f t="shared" si="8"/>
        <v>0</v>
      </c>
      <c r="F65" s="305">
        <f t="shared" si="16"/>
        <v>0</v>
      </c>
      <c r="G65" s="299">
        <f t="shared" si="16"/>
        <v>0</v>
      </c>
      <c r="H65" s="300">
        <f t="shared" si="16"/>
        <v>0</v>
      </c>
      <c r="I65" s="305">
        <f t="shared" si="16"/>
        <v>0</v>
      </c>
      <c r="J65" s="306">
        <f t="shared" si="2"/>
        <v>0</v>
      </c>
      <c r="K65" s="299"/>
      <c r="L65" s="300">
        <f t="shared" si="3"/>
        <v>-67495.672601384766</v>
      </c>
      <c r="M65" s="305">
        <f t="shared" si="4"/>
        <v>303610.50329840294</v>
      </c>
      <c r="N65" s="307">
        <f t="shared" si="5"/>
        <v>236114.83069701819</v>
      </c>
      <c r="O65" s="299"/>
      <c r="P65" s="308" t="str">
        <f>Données!AC65</f>
        <v/>
      </c>
      <c r="Q65" s="304" t="str">
        <f>Données!AD65</f>
        <v/>
      </c>
      <c r="R65" s="299">
        <f t="shared" si="10"/>
        <v>0</v>
      </c>
      <c r="S65" s="305">
        <f t="shared" si="11"/>
        <v>0</v>
      </c>
      <c r="T65" s="299">
        <f t="shared" si="6"/>
        <v>51084.149147350705</v>
      </c>
      <c r="U65" s="309">
        <f t="shared" si="7"/>
        <v>51084.149147350705</v>
      </c>
    </row>
    <row r="66" spans="1:21" x14ac:dyDescent="0.25">
      <c r="A66" s="156">
        <f>Données!A66</f>
        <v>5501</v>
      </c>
      <c r="B66" s="157" t="str">
        <f>Données!B66</f>
        <v>Sullens</v>
      </c>
      <c r="C66" s="304">
        <f>Données!C66</f>
        <v>1282</v>
      </c>
      <c r="D66" s="300">
        <f t="shared" si="0"/>
        <v>1000</v>
      </c>
      <c r="E66" s="300">
        <f t="shared" si="8"/>
        <v>282</v>
      </c>
      <c r="F66" s="305">
        <f t="shared" si="16"/>
        <v>0</v>
      </c>
      <c r="G66" s="299">
        <f t="shared" si="16"/>
        <v>0</v>
      </c>
      <c r="H66" s="300">
        <f t="shared" si="16"/>
        <v>0</v>
      </c>
      <c r="I66" s="305">
        <f t="shared" si="16"/>
        <v>0</v>
      </c>
      <c r="J66" s="306">
        <f t="shared" si="2"/>
        <v>0</v>
      </c>
      <c r="K66" s="299"/>
      <c r="L66" s="300">
        <f t="shared" si="3"/>
        <v>-239188.62512363994</v>
      </c>
      <c r="M66" s="305">
        <f t="shared" si="4"/>
        <v>770749.83213574765</v>
      </c>
      <c r="N66" s="307">
        <f t="shared" si="5"/>
        <v>531561.20701210771</v>
      </c>
      <c r="O66" s="299"/>
      <c r="P66" s="308" t="str">
        <f>Données!AC66</f>
        <v/>
      </c>
      <c r="Q66" s="304" t="str">
        <f>Données!AD66</f>
        <v/>
      </c>
      <c r="R66" s="299">
        <f t="shared" si="10"/>
        <v>0</v>
      </c>
      <c r="S66" s="305">
        <f t="shared" si="11"/>
        <v>0</v>
      </c>
      <c r="T66" s="299">
        <f t="shared" si="6"/>
        <v>129682.92912258139</v>
      </c>
      <c r="U66" s="309">
        <f t="shared" si="7"/>
        <v>129682.92912258139</v>
      </c>
    </row>
    <row r="67" spans="1:21" x14ac:dyDescent="0.25">
      <c r="A67" s="156">
        <f>Données!A67</f>
        <v>5503</v>
      </c>
      <c r="B67" s="157" t="str">
        <f>Données!B67</f>
        <v>Vufflens-la-Ville</v>
      </c>
      <c r="C67" s="304">
        <f>Données!C67</f>
        <v>1327</v>
      </c>
      <c r="D67" s="300">
        <f t="shared" si="0"/>
        <v>1000</v>
      </c>
      <c r="E67" s="300">
        <f t="shared" si="8"/>
        <v>327</v>
      </c>
      <c r="F67" s="305">
        <f t="shared" ref="F67:I76" si="17">IF($C67&lt;F$4,0,IF($C67&gt;F$5,F$5-F$4,$C67-F$4))</f>
        <v>0</v>
      </c>
      <c r="G67" s="299">
        <f t="shared" si="17"/>
        <v>0</v>
      </c>
      <c r="H67" s="300">
        <f t="shared" si="17"/>
        <v>0</v>
      </c>
      <c r="I67" s="305">
        <f t="shared" si="17"/>
        <v>0</v>
      </c>
      <c r="J67" s="306">
        <f t="shared" si="2"/>
        <v>0</v>
      </c>
      <c r="K67" s="299"/>
      <c r="L67" s="300">
        <f t="shared" si="3"/>
        <v>-256029.12957467852</v>
      </c>
      <c r="M67" s="305">
        <f t="shared" si="4"/>
        <v>797804.23341976374</v>
      </c>
      <c r="N67" s="307">
        <f t="shared" si="5"/>
        <v>541775.10384508525</v>
      </c>
      <c r="O67" s="299"/>
      <c r="P67" s="308" t="str">
        <f>Données!AC67</f>
        <v/>
      </c>
      <c r="Q67" s="304" t="str">
        <f>Données!AD67</f>
        <v/>
      </c>
      <c r="R67" s="299">
        <f t="shared" si="10"/>
        <v>0</v>
      </c>
      <c r="S67" s="305">
        <f t="shared" si="11"/>
        <v>0</v>
      </c>
      <c r="T67" s="299">
        <f t="shared" si="6"/>
        <v>134234.98201689977</v>
      </c>
      <c r="U67" s="309">
        <f t="shared" si="7"/>
        <v>134234.98201689977</v>
      </c>
    </row>
    <row r="68" spans="1:21" x14ac:dyDescent="0.25">
      <c r="A68" s="156">
        <f>Données!A68</f>
        <v>5511</v>
      </c>
      <c r="B68" s="157" t="str">
        <f>Données!B68</f>
        <v>Assens</v>
      </c>
      <c r="C68" s="304">
        <f>Données!C68</f>
        <v>1747</v>
      </c>
      <c r="D68" s="300">
        <f t="shared" si="0"/>
        <v>1000</v>
      </c>
      <c r="E68" s="300">
        <f t="shared" si="8"/>
        <v>747</v>
      </c>
      <c r="F68" s="305">
        <f t="shared" si="17"/>
        <v>0</v>
      </c>
      <c r="G68" s="299">
        <f t="shared" si="17"/>
        <v>0</v>
      </c>
      <c r="H68" s="300">
        <f t="shared" si="17"/>
        <v>0</v>
      </c>
      <c r="I68" s="305">
        <f t="shared" si="17"/>
        <v>0</v>
      </c>
      <c r="J68" s="306">
        <f t="shared" si="2"/>
        <v>0</v>
      </c>
      <c r="K68" s="299"/>
      <c r="L68" s="300">
        <f t="shared" si="3"/>
        <v>-413207.17111770523</v>
      </c>
      <c r="M68" s="305">
        <f t="shared" si="4"/>
        <v>1050311.9787372474</v>
      </c>
      <c r="N68" s="307">
        <f t="shared" si="5"/>
        <v>637104.80761954212</v>
      </c>
      <c r="O68" s="299"/>
      <c r="P68" s="308" t="str">
        <f>Données!AC68</f>
        <v/>
      </c>
      <c r="Q68" s="304" t="str">
        <f>Données!AD68</f>
        <v/>
      </c>
      <c r="R68" s="299">
        <f t="shared" si="10"/>
        <v>0</v>
      </c>
      <c r="S68" s="305">
        <f t="shared" si="11"/>
        <v>0</v>
      </c>
      <c r="T68" s="299">
        <f t="shared" si="6"/>
        <v>176720.80903053799</v>
      </c>
      <c r="U68" s="309">
        <f t="shared" si="7"/>
        <v>176720.80903053799</v>
      </c>
    </row>
    <row r="69" spans="1:21" x14ac:dyDescent="0.25">
      <c r="A69" s="156">
        <f>Données!A69</f>
        <v>5512</v>
      </c>
      <c r="B69" s="157" t="str">
        <f>Données!B69</f>
        <v>Bercher</v>
      </c>
      <c r="C69" s="304">
        <f>Données!C69</f>
        <v>1359</v>
      </c>
      <c r="D69" s="300">
        <f t="shared" si="0"/>
        <v>1000</v>
      </c>
      <c r="E69" s="300">
        <f t="shared" si="8"/>
        <v>359</v>
      </c>
      <c r="F69" s="305">
        <f t="shared" si="17"/>
        <v>0</v>
      </c>
      <c r="G69" s="299">
        <f t="shared" si="17"/>
        <v>0</v>
      </c>
      <c r="H69" s="300">
        <f t="shared" si="17"/>
        <v>0</v>
      </c>
      <c r="I69" s="305">
        <f t="shared" si="17"/>
        <v>0</v>
      </c>
      <c r="J69" s="306">
        <f t="shared" si="2"/>
        <v>0</v>
      </c>
      <c r="K69" s="299"/>
      <c r="L69" s="300">
        <f t="shared" si="3"/>
        <v>-268004.59940652817</v>
      </c>
      <c r="M69" s="305">
        <f t="shared" si="4"/>
        <v>817042.91877728631</v>
      </c>
      <c r="N69" s="307">
        <f t="shared" si="5"/>
        <v>549038.31937075814</v>
      </c>
      <c r="O69" s="299"/>
      <c r="P69" s="308" t="str">
        <f>Données!AC69</f>
        <v/>
      </c>
      <c r="Q69" s="304" t="str">
        <f>Données!AD69</f>
        <v/>
      </c>
      <c r="R69" s="299">
        <f t="shared" si="10"/>
        <v>0</v>
      </c>
      <c r="S69" s="305">
        <f t="shared" si="11"/>
        <v>0</v>
      </c>
      <c r="T69" s="299">
        <f t="shared" si="6"/>
        <v>137471.99740841507</v>
      </c>
      <c r="U69" s="309">
        <f t="shared" si="7"/>
        <v>137471.99740841507</v>
      </c>
    </row>
    <row r="70" spans="1:21" x14ac:dyDescent="0.25">
      <c r="A70" s="156">
        <f>Données!A70</f>
        <v>5514</v>
      </c>
      <c r="B70" s="157" t="str">
        <f>Données!B70</f>
        <v>Bottens</v>
      </c>
      <c r="C70" s="304">
        <f>Données!C70</f>
        <v>1389</v>
      </c>
      <c r="D70" s="300">
        <f t="shared" ref="D70:D133" si="18">IF(C70&gt;$D$5,$D$5-$D$4,C70)</f>
        <v>1000</v>
      </c>
      <c r="E70" s="300">
        <f t="shared" si="8"/>
        <v>389</v>
      </c>
      <c r="F70" s="305">
        <f t="shared" si="17"/>
        <v>0</v>
      </c>
      <c r="G70" s="299">
        <f t="shared" si="17"/>
        <v>0</v>
      </c>
      <c r="H70" s="300">
        <f t="shared" si="17"/>
        <v>0</v>
      </c>
      <c r="I70" s="305">
        <f t="shared" si="17"/>
        <v>0</v>
      </c>
      <c r="J70" s="306">
        <f t="shared" ref="J70:J133" si="19">IF($C70&lt;J$4,0,$C70-J$4)</f>
        <v>0</v>
      </c>
      <c r="K70" s="299"/>
      <c r="L70" s="300">
        <f t="shared" ref="L70:L133" si="20">-SUMPRODUCT($D$6:$J$6,D70:J70)</f>
        <v>-279231.6023738872</v>
      </c>
      <c r="M70" s="305">
        <f t="shared" si="4"/>
        <v>835079.18629996374</v>
      </c>
      <c r="N70" s="307">
        <f t="shared" ref="N70:N133" si="21">SUM(L70:M70)</f>
        <v>555847.58392607654</v>
      </c>
      <c r="O70" s="299"/>
      <c r="P70" s="308" t="str">
        <f>Données!AC70</f>
        <v/>
      </c>
      <c r="Q70" s="304" t="str">
        <f>Données!AD70</f>
        <v/>
      </c>
      <c r="R70" s="299">
        <f t="shared" si="10"/>
        <v>0</v>
      </c>
      <c r="S70" s="305">
        <f t="shared" si="11"/>
        <v>0</v>
      </c>
      <c r="T70" s="299">
        <f t="shared" si="6"/>
        <v>140506.69933796066</v>
      </c>
      <c r="U70" s="309">
        <f t="shared" ref="U70:U133" si="22">S70+T70</f>
        <v>140506.69933796066</v>
      </c>
    </row>
    <row r="71" spans="1:21" x14ac:dyDescent="0.25">
      <c r="A71" s="156">
        <f>Données!A71</f>
        <v>5515</v>
      </c>
      <c r="B71" s="157" t="str">
        <f>Données!B71</f>
        <v>Bretigny-sur-Morrens</v>
      </c>
      <c r="C71" s="304">
        <f>Données!C71</f>
        <v>893</v>
      </c>
      <c r="D71" s="300">
        <f t="shared" si="18"/>
        <v>893</v>
      </c>
      <c r="E71" s="300">
        <f t="shared" ref="E71:E134" si="23">IF(C71&lt;$E$4,0,IF(C71&gt;$E$5,$E$5-$E$4,C71-$E$4))</f>
        <v>0</v>
      </c>
      <c r="F71" s="305">
        <f t="shared" si="17"/>
        <v>0</v>
      </c>
      <c r="G71" s="299">
        <f t="shared" si="17"/>
        <v>0</v>
      </c>
      <c r="H71" s="300">
        <f t="shared" si="17"/>
        <v>0</v>
      </c>
      <c r="I71" s="305">
        <f t="shared" si="17"/>
        <v>0</v>
      </c>
      <c r="J71" s="306">
        <f t="shared" si="19"/>
        <v>0</v>
      </c>
      <c r="K71" s="299"/>
      <c r="L71" s="300">
        <f t="shared" si="20"/>
        <v>-119353.73392680514</v>
      </c>
      <c r="M71" s="305">
        <f t="shared" si="4"/>
        <v>536879.56325836398</v>
      </c>
      <c r="N71" s="307">
        <f t="shared" si="21"/>
        <v>417525.82933155884</v>
      </c>
      <c r="O71" s="299"/>
      <c r="P71" s="308" t="str">
        <f>Données!AC71</f>
        <v/>
      </c>
      <c r="Q71" s="304" t="str">
        <f>Données!AD71</f>
        <v/>
      </c>
      <c r="R71" s="299">
        <f t="shared" ref="R71:R134" si="24">SUM(P71:Q71)</f>
        <v>0</v>
      </c>
      <c r="S71" s="305">
        <f t="shared" ref="S71:S134" si="25">-R71*$P$6</f>
        <v>0</v>
      </c>
      <c r="T71" s="299">
        <f t="shared" si="6"/>
        <v>90332.960769473633</v>
      </c>
      <c r="U71" s="309">
        <f t="shared" si="22"/>
        <v>90332.960769473633</v>
      </c>
    </row>
    <row r="72" spans="1:21" x14ac:dyDescent="0.25">
      <c r="A72" s="156">
        <f>Données!A72</f>
        <v>5516</v>
      </c>
      <c r="B72" s="157" t="str">
        <f>Données!B72</f>
        <v>Cugy</v>
      </c>
      <c r="C72" s="304">
        <f>Données!C72</f>
        <v>2824</v>
      </c>
      <c r="D72" s="300">
        <f t="shared" si="18"/>
        <v>1000</v>
      </c>
      <c r="E72" s="300">
        <f t="shared" si="23"/>
        <v>1824</v>
      </c>
      <c r="F72" s="305">
        <f t="shared" si="17"/>
        <v>0</v>
      </c>
      <c r="G72" s="299">
        <f t="shared" si="17"/>
        <v>0</v>
      </c>
      <c r="H72" s="300">
        <f t="shared" si="17"/>
        <v>0</v>
      </c>
      <c r="I72" s="305">
        <f t="shared" si="17"/>
        <v>0</v>
      </c>
      <c r="J72" s="306">
        <f t="shared" si="19"/>
        <v>0</v>
      </c>
      <c r="K72" s="299"/>
      <c r="L72" s="300">
        <f t="shared" si="20"/>
        <v>-816256.57764589519</v>
      </c>
      <c r="M72" s="305">
        <f t="shared" ref="M72:M135" si="26">(-$L$6)/($C$302)*C72</f>
        <v>1697813.9828013661</v>
      </c>
      <c r="N72" s="307">
        <f t="shared" si="21"/>
        <v>881557.40515547094</v>
      </c>
      <c r="O72" s="299"/>
      <c r="P72" s="308" t="str">
        <f>Données!AC72</f>
        <v/>
      </c>
      <c r="Q72" s="304" t="str">
        <f>Données!AD72</f>
        <v/>
      </c>
      <c r="R72" s="299">
        <f t="shared" si="24"/>
        <v>0</v>
      </c>
      <c r="S72" s="305">
        <f t="shared" si="25"/>
        <v>0</v>
      </c>
      <c r="T72" s="299">
        <f t="shared" ref="T72:T135" si="27">-$S$6/$C$302*C72</f>
        <v>285666.60830122454</v>
      </c>
      <c r="U72" s="309">
        <f t="shared" si="22"/>
        <v>285666.60830122454</v>
      </c>
    </row>
    <row r="73" spans="1:21" x14ac:dyDescent="0.25">
      <c r="A73" s="156">
        <f>Données!A73</f>
        <v>5518</v>
      </c>
      <c r="B73" s="157" t="str">
        <f>Données!B73</f>
        <v>Echallens</v>
      </c>
      <c r="C73" s="304">
        <f>Données!C73</f>
        <v>6816</v>
      </c>
      <c r="D73" s="300">
        <f t="shared" si="18"/>
        <v>1000</v>
      </c>
      <c r="E73" s="300">
        <f t="shared" si="23"/>
        <v>2000</v>
      </c>
      <c r="F73" s="305">
        <f t="shared" si="17"/>
        <v>3816</v>
      </c>
      <c r="G73" s="299">
        <f t="shared" si="17"/>
        <v>0</v>
      </c>
      <c r="H73" s="300">
        <f t="shared" si="17"/>
        <v>0</v>
      </c>
      <c r="I73" s="305">
        <f t="shared" si="17"/>
        <v>0</v>
      </c>
      <c r="J73" s="306">
        <f t="shared" si="19"/>
        <v>0</v>
      </c>
      <c r="K73" s="299"/>
      <c r="L73" s="300">
        <f t="shared" si="20"/>
        <v>-3432255.1928783385</v>
      </c>
      <c r="M73" s="305">
        <f t="shared" si="26"/>
        <v>4097839.9811523054</v>
      </c>
      <c r="N73" s="307">
        <f t="shared" si="21"/>
        <v>665584.78827396687</v>
      </c>
      <c r="O73" s="299"/>
      <c r="P73" s="308" t="str">
        <f>Données!AC73</f>
        <v/>
      </c>
      <c r="Q73" s="304" t="str">
        <f>Données!AD73</f>
        <v/>
      </c>
      <c r="R73" s="299">
        <f t="shared" si="24"/>
        <v>0</v>
      </c>
      <c r="S73" s="305">
        <f t="shared" si="25"/>
        <v>0</v>
      </c>
      <c r="T73" s="299">
        <f t="shared" si="27"/>
        <v>689484.27839275729</v>
      </c>
      <c r="U73" s="309">
        <f t="shared" si="22"/>
        <v>689484.27839275729</v>
      </c>
    </row>
    <row r="74" spans="1:21" x14ac:dyDescent="0.25">
      <c r="A74" s="156">
        <f>Données!A74</f>
        <v>5520</v>
      </c>
      <c r="B74" s="157" t="str">
        <f>Données!B74</f>
        <v>Essertines-sur-Yverdon</v>
      </c>
      <c r="C74" s="304">
        <f>Données!C74</f>
        <v>1183</v>
      </c>
      <c r="D74" s="300">
        <f t="shared" si="18"/>
        <v>1000</v>
      </c>
      <c r="E74" s="300">
        <f t="shared" si="23"/>
        <v>183</v>
      </c>
      <c r="F74" s="305">
        <f t="shared" si="17"/>
        <v>0</v>
      </c>
      <c r="G74" s="299">
        <f t="shared" si="17"/>
        <v>0</v>
      </c>
      <c r="H74" s="300">
        <f t="shared" si="17"/>
        <v>0</v>
      </c>
      <c r="I74" s="305">
        <f t="shared" si="17"/>
        <v>0</v>
      </c>
      <c r="J74" s="306">
        <f t="shared" si="19"/>
        <v>0</v>
      </c>
      <c r="K74" s="299"/>
      <c r="L74" s="300">
        <f t="shared" si="20"/>
        <v>-202139.5153313551</v>
      </c>
      <c r="M74" s="305">
        <f t="shared" si="26"/>
        <v>711230.14931091224</v>
      </c>
      <c r="N74" s="307">
        <f t="shared" si="21"/>
        <v>509090.63397955714</v>
      </c>
      <c r="O74" s="299"/>
      <c r="P74" s="308" t="str">
        <f>Données!AC74</f>
        <v/>
      </c>
      <c r="Q74" s="304" t="str">
        <f>Données!AD74</f>
        <v/>
      </c>
      <c r="R74" s="299">
        <f t="shared" si="24"/>
        <v>0</v>
      </c>
      <c r="S74" s="305">
        <f t="shared" si="25"/>
        <v>0</v>
      </c>
      <c r="T74" s="299">
        <f t="shared" si="27"/>
        <v>119668.41275508096</v>
      </c>
      <c r="U74" s="309">
        <f t="shared" si="22"/>
        <v>119668.41275508096</v>
      </c>
    </row>
    <row r="75" spans="1:21" x14ac:dyDescent="0.25">
      <c r="A75" s="156">
        <f>Données!A75</f>
        <v>5521</v>
      </c>
      <c r="B75" s="157" t="str">
        <f>Données!B75</f>
        <v>Etagnières</v>
      </c>
      <c r="C75" s="304">
        <f>Données!C75</f>
        <v>1168</v>
      </c>
      <c r="D75" s="300">
        <f t="shared" si="18"/>
        <v>1000</v>
      </c>
      <c r="E75" s="300">
        <f t="shared" si="23"/>
        <v>168</v>
      </c>
      <c r="F75" s="305">
        <f t="shared" si="17"/>
        <v>0</v>
      </c>
      <c r="G75" s="299">
        <f t="shared" si="17"/>
        <v>0</v>
      </c>
      <c r="H75" s="300">
        <f t="shared" si="17"/>
        <v>0</v>
      </c>
      <c r="I75" s="305">
        <f t="shared" si="17"/>
        <v>0</v>
      </c>
      <c r="J75" s="306">
        <f t="shared" si="19"/>
        <v>0</v>
      </c>
      <c r="K75" s="299"/>
      <c r="L75" s="300">
        <f t="shared" si="20"/>
        <v>-196526.01384767555</v>
      </c>
      <c r="M75" s="305">
        <f t="shared" si="26"/>
        <v>702212.01554957347</v>
      </c>
      <c r="N75" s="307">
        <f t="shared" si="21"/>
        <v>505686.00170189794</v>
      </c>
      <c r="O75" s="299"/>
      <c r="P75" s="308" t="str">
        <f>Données!AC75</f>
        <v/>
      </c>
      <c r="Q75" s="304" t="str">
        <f>Données!AD75</f>
        <v/>
      </c>
      <c r="R75" s="299">
        <f t="shared" si="24"/>
        <v>0</v>
      </c>
      <c r="S75" s="305">
        <f t="shared" si="25"/>
        <v>0</v>
      </c>
      <c r="T75" s="299">
        <f t="shared" si="27"/>
        <v>118151.06179030817</v>
      </c>
      <c r="U75" s="309">
        <f t="shared" si="22"/>
        <v>118151.06179030817</v>
      </c>
    </row>
    <row r="76" spans="1:21" x14ac:dyDescent="0.25">
      <c r="A76" s="156">
        <f>Données!A76</f>
        <v>5522</v>
      </c>
      <c r="B76" s="157" t="str">
        <f>Données!B76</f>
        <v>Fey</v>
      </c>
      <c r="C76" s="304">
        <f>Données!C76</f>
        <v>791</v>
      </c>
      <c r="D76" s="300">
        <f t="shared" si="18"/>
        <v>791</v>
      </c>
      <c r="E76" s="300">
        <f t="shared" si="23"/>
        <v>0</v>
      </c>
      <c r="F76" s="305">
        <f t="shared" si="17"/>
        <v>0</v>
      </c>
      <c r="G76" s="299">
        <f t="shared" si="17"/>
        <v>0</v>
      </c>
      <c r="H76" s="300">
        <f t="shared" si="17"/>
        <v>0</v>
      </c>
      <c r="I76" s="305">
        <f t="shared" si="17"/>
        <v>0</v>
      </c>
      <c r="J76" s="306">
        <f t="shared" si="19"/>
        <v>0</v>
      </c>
      <c r="K76" s="299"/>
      <c r="L76" s="300">
        <f t="shared" si="20"/>
        <v>-105720.94460929772</v>
      </c>
      <c r="M76" s="305">
        <f t="shared" si="26"/>
        <v>475556.2536812608</v>
      </c>
      <c r="N76" s="307">
        <f t="shared" si="21"/>
        <v>369835.30907196307</v>
      </c>
      <c r="O76" s="299"/>
      <c r="P76" s="308" t="str">
        <f>Données!AC76</f>
        <v/>
      </c>
      <c r="Q76" s="304" t="str">
        <f>Données!AD76</f>
        <v/>
      </c>
      <c r="R76" s="299">
        <f t="shared" si="24"/>
        <v>0</v>
      </c>
      <c r="S76" s="305">
        <f t="shared" si="25"/>
        <v>0</v>
      </c>
      <c r="T76" s="299">
        <f t="shared" si="27"/>
        <v>80014.974209018634</v>
      </c>
      <c r="U76" s="309">
        <f t="shared" si="22"/>
        <v>80014.974209018634</v>
      </c>
    </row>
    <row r="77" spans="1:21" x14ac:dyDescent="0.25">
      <c r="A77" s="156">
        <f>Données!A77</f>
        <v>5523</v>
      </c>
      <c r="B77" s="157" t="str">
        <f>Données!B77</f>
        <v>Froideville</v>
      </c>
      <c r="C77" s="304">
        <f>Données!C77</f>
        <v>2713</v>
      </c>
      <c r="D77" s="300">
        <f t="shared" si="18"/>
        <v>1000</v>
      </c>
      <c r="E77" s="300">
        <f t="shared" si="23"/>
        <v>1713</v>
      </c>
      <c r="F77" s="305">
        <f t="shared" ref="F77:I86" si="28">IF($C77&lt;F$4,0,IF($C77&gt;F$5,F$5-F$4,$C77-F$4))</f>
        <v>0</v>
      </c>
      <c r="G77" s="299">
        <f t="shared" si="28"/>
        <v>0</v>
      </c>
      <c r="H77" s="300">
        <f t="shared" si="28"/>
        <v>0</v>
      </c>
      <c r="I77" s="305">
        <f t="shared" si="28"/>
        <v>0</v>
      </c>
      <c r="J77" s="306">
        <f t="shared" si="19"/>
        <v>0</v>
      </c>
      <c r="K77" s="299"/>
      <c r="L77" s="300">
        <f t="shared" si="20"/>
        <v>-774716.66666666663</v>
      </c>
      <c r="M77" s="305">
        <f t="shared" si="26"/>
        <v>1631079.7929674597</v>
      </c>
      <c r="N77" s="307">
        <f t="shared" si="21"/>
        <v>856363.12630079302</v>
      </c>
      <c r="O77" s="299"/>
      <c r="P77" s="308" t="str">
        <f>Données!AC77</f>
        <v/>
      </c>
      <c r="Q77" s="304" t="str">
        <f>Données!AD77</f>
        <v/>
      </c>
      <c r="R77" s="299">
        <f t="shared" si="24"/>
        <v>0</v>
      </c>
      <c r="S77" s="305">
        <f t="shared" si="25"/>
        <v>0</v>
      </c>
      <c r="T77" s="299">
        <f t="shared" si="27"/>
        <v>274438.2111619059</v>
      </c>
      <c r="U77" s="309">
        <f t="shared" si="22"/>
        <v>274438.2111619059</v>
      </c>
    </row>
    <row r="78" spans="1:21" x14ac:dyDescent="0.25">
      <c r="A78" s="156">
        <f>Données!A78</f>
        <v>5527</v>
      </c>
      <c r="B78" s="157" t="str">
        <f>Données!B78</f>
        <v>Morrens</v>
      </c>
      <c r="C78" s="304">
        <f>Données!C78</f>
        <v>1145</v>
      </c>
      <c r="D78" s="300">
        <f t="shared" si="18"/>
        <v>1000</v>
      </c>
      <c r="E78" s="300">
        <f t="shared" si="23"/>
        <v>145</v>
      </c>
      <c r="F78" s="305">
        <f t="shared" si="28"/>
        <v>0</v>
      </c>
      <c r="G78" s="299">
        <f t="shared" si="28"/>
        <v>0</v>
      </c>
      <c r="H78" s="300">
        <f t="shared" si="28"/>
        <v>0</v>
      </c>
      <c r="I78" s="305">
        <f t="shared" si="28"/>
        <v>0</v>
      </c>
      <c r="J78" s="306">
        <f t="shared" si="19"/>
        <v>0</v>
      </c>
      <c r="K78" s="299"/>
      <c r="L78" s="300">
        <f t="shared" si="20"/>
        <v>-187918.64490603362</v>
      </c>
      <c r="M78" s="305">
        <f t="shared" si="26"/>
        <v>688384.21044885414</v>
      </c>
      <c r="N78" s="307">
        <f t="shared" si="21"/>
        <v>500465.56554282049</v>
      </c>
      <c r="O78" s="299"/>
      <c r="P78" s="308" t="str">
        <f>Données!AC78</f>
        <v/>
      </c>
      <c r="Q78" s="304" t="str">
        <f>Données!AD78</f>
        <v/>
      </c>
      <c r="R78" s="299">
        <f t="shared" si="24"/>
        <v>0</v>
      </c>
      <c r="S78" s="305">
        <f t="shared" si="25"/>
        <v>0</v>
      </c>
      <c r="T78" s="299">
        <f t="shared" si="27"/>
        <v>115824.45697765655</v>
      </c>
      <c r="U78" s="309">
        <f t="shared" si="22"/>
        <v>115824.45697765655</v>
      </c>
    </row>
    <row r="79" spans="1:21" x14ac:dyDescent="0.25">
      <c r="A79" s="156">
        <f>Données!A79</f>
        <v>5529</v>
      </c>
      <c r="B79" s="157" t="str">
        <f>Données!B79</f>
        <v>Oulens-sous-Echallens</v>
      </c>
      <c r="C79" s="304">
        <f>Données!C79</f>
        <v>609</v>
      </c>
      <c r="D79" s="300">
        <f t="shared" si="18"/>
        <v>609</v>
      </c>
      <c r="E79" s="300">
        <f t="shared" si="23"/>
        <v>0</v>
      </c>
      <c r="F79" s="305">
        <f t="shared" si="28"/>
        <v>0</v>
      </c>
      <c r="G79" s="299">
        <f t="shared" si="28"/>
        <v>0</v>
      </c>
      <c r="H79" s="300">
        <f t="shared" si="28"/>
        <v>0</v>
      </c>
      <c r="I79" s="305">
        <f t="shared" si="28"/>
        <v>0</v>
      </c>
      <c r="J79" s="306">
        <f t="shared" si="19"/>
        <v>0</v>
      </c>
      <c r="K79" s="299"/>
      <c r="L79" s="300">
        <f t="shared" si="20"/>
        <v>-81395.771513353116</v>
      </c>
      <c r="M79" s="305">
        <f t="shared" si="26"/>
        <v>366136.23071035126</v>
      </c>
      <c r="N79" s="307">
        <f t="shared" si="21"/>
        <v>284740.45919699816</v>
      </c>
      <c r="O79" s="299"/>
      <c r="P79" s="308" t="str">
        <f>Données!AC79</f>
        <v/>
      </c>
      <c r="Q79" s="304" t="str">
        <f>Données!AD79</f>
        <v/>
      </c>
      <c r="R79" s="299">
        <f t="shared" si="24"/>
        <v>0</v>
      </c>
      <c r="S79" s="305">
        <f t="shared" si="25"/>
        <v>0</v>
      </c>
      <c r="T79" s="299">
        <f t="shared" si="27"/>
        <v>61604.449169775406</v>
      </c>
      <c r="U79" s="309">
        <f t="shared" si="22"/>
        <v>61604.449169775406</v>
      </c>
    </row>
    <row r="80" spans="1:21" x14ac:dyDescent="0.25">
      <c r="A80" s="156">
        <f>Données!A80</f>
        <v>5530</v>
      </c>
      <c r="B80" s="157" t="str">
        <f>Données!B80</f>
        <v>Pailly</v>
      </c>
      <c r="C80" s="304">
        <f>Données!C80</f>
        <v>575</v>
      </c>
      <c r="D80" s="300">
        <f t="shared" si="18"/>
        <v>575</v>
      </c>
      <c r="E80" s="300">
        <f t="shared" si="23"/>
        <v>0</v>
      </c>
      <c r="F80" s="305">
        <f t="shared" si="28"/>
        <v>0</v>
      </c>
      <c r="G80" s="299">
        <f t="shared" si="28"/>
        <v>0</v>
      </c>
      <c r="H80" s="300">
        <f t="shared" si="28"/>
        <v>0</v>
      </c>
      <c r="I80" s="305">
        <f t="shared" si="28"/>
        <v>0</v>
      </c>
      <c r="J80" s="306">
        <f t="shared" si="19"/>
        <v>0</v>
      </c>
      <c r="K80" s="299"/>
      <c r="L80" s="300">
        <f t="shared" si="20"/>
        <v>-76851.508407517307</v>
      </c>
      <c r="M80" s="305">
        <f t="shared" si="26"/>
        <v>345695.12751798355</v>
      </c>
      <c r="N80" s="307">
        <f t="shared" si="21"/>
        <v>268843.61911046621</v>
      </c>
      <c r="O80" s="299"/>
      <c r="P80" s="308" t="str">
        <f>Données!AC80</f>
        <v/>
      </c>
      <c r="Q80" s="304" t="str">
        <f>Données!AD80</f>
        <v/>
      </c>
      <c r="R80" s="299">
        <f t="shared" si="24"/>
        <v>0</v>
      </c>
      <c r="S80" s="305">
        <f t="shared" si="25"/>
        <v>0</v>
      </c>
      <c r="T80" s="299">
        <f t="shared" si="27"/>
        <v>58165.120316290406</v>
      </c>
      <c r="U80" s="309">
        <f t="shared" si="22"/>
        <v>58165.120316290406</v>
      </c>
    </row>
    <row r="81" spans="1:21" x14ac:dyDescent="0.25">
      <c r="A81" s="156">
        <f>Données!A81</f>
        <v>5531</v>
      </c>
      <c r="B81" s="157" t="str">
        <f>Données!B81</f>
        <v>Penthéréaz</v>
      </c>
      <c r="C81" s="304">
        <f>Données!C81</f>
        <v>446</v>
      </c>
      <c r="D81" s="300">
        <f t="shared" si="18"/>
        <v>446</v>
      </c>
      <c r="E81" s="300">
        <f t="shared" si="23"/>
        <v>0</v>
      </c>
      <c r="F81" s="305">
        <f t="shared" si="28"/>
        <v>0</v>
      </c>
      <c r="G81" s="299">
        <f t="shared" si="28"/>
        <v>0</v>
      </c>
      <c r="H81" s="300">
        <f t="shared" si="28"/>
        <v>0</v>
      </c>
      <c r="I81" s="305">
        <f t="shared" si="28"/>
        <v>0</v>
      </c>
      <c r="J81" s="306">
        <f t="shared" si="19"/>
        <v>0</v>
      </c>
      <c r="K81" s="299"/>
      <c r="L81" s="300">
        <f t="shared" si="20"/>
        <v>-59610.039564787337</v>
      </c>
      <c r="M81" s="305">
        <f t="shared" si="26"/>
        <v>268139.17717047071</v>
      </c>
      <c r="N81" s="307">
        <f t="shared" si="21"/>
        <v>208529.13760568335</v>
      </c>
      <c r="O81" s="299"/>
      <c r="P81" s="308" t="str">
        <f>Données!AC81</f>
        <v/>
      </c>
      <c r="Q81" s="304" t="str">
        <f>Données!AD81</f>
        <v/>
      </c>
      <c r="R81" s="299">
        <f t="shared" si="24"/>
        <v>0</v>
      </c>
      <c r="S81" s="305">
        <f t="shared" si="25"/>
        <v>0</v>
      </c>
      <c r="T81" s="299">
        <f t="shared" si="27"/>
        <v>45115.902019244386</v>
      </c>
      <c r="U81" s="309">
        <f t="shared" si="22"/>
        <v>45115.902019244386</v>
      </c>
    </row>
    <row r="82" spans="1:21" x14ac:dyDescent="0.25">
      <c r="A82" s="156">
        <f>Données!A82</f>
        <v>5533</v>
      </c>
      <c r="B82" s="157" t="str">
        <f>Données!B82</f>
        <v>Poliez-Pittet</v>
      </c>
      <c r="C82" s="304">
        <f>Données!C82</f>
        <v>847</v>
      </c>
      <c r="D82" s="300">
        <f t="shared" si="18"/>
        <v>847</v>
      </c>
      <c r="E82" s="300">
        <f t="shared" si="23"/>
        <v>0</v>
      </c>
      <c r="F82" s="305">
        <f t="shared" si="28"/>
        <v>0</v>
      </c>
      <c r="G82" s="299">
        <f t="shared" si="28"/>
        <v>0</v>
      </c>
      <c r="H82" s="300">
        <f t="shared" si="28"/>
        <v>0</v>
      </c>
      <c r="I82" s="305">
        <f t="shared" si="28"/>
        <v>0</v>
      </c>
      <c r="J82" s="306">
        <f t="shared" si="19"/>
        <v>0</v>
      </c>
      <c r="K82" s="299"/>
      <c r="L82" s="300">
        <f t="shared" si="20"/>
        <v>-113205.61325420375</v>
      </c>
      <c r="M82" s="305">
        <f t="shared" si="26"/>
        <v>509223.95305692533</v>
      </c>
      <c r="N82" s="307">
        <f t="shared" si="21"/>
        <v>396018.33980272157</v>
      </c>
      <c r="O82" s="299"/>
      <c r="P82" s="308" t="str">
        <f>Données!AC82</f>
        <v/>
      </c>
      <c r="Q82" s="304" t="str">
        <f>Données!AD82</f>
        <v/>
      </c>
      <c r="R82" s="299">
        <f t="shared" si="24"/>
        <v>0</v>
      </c>
      <c r="S82" s="305">
        <f t="shared" si="25"/>
        <v>0</v>
      </c>
      <c r="T82" s="299">
        <f t="shared" si="27"/>
        <v>85679.751144170397</v>
      </c>
      <c r="U82" s="309">
        <f t="shared" si="22"/>
        <v>85679.751144170397</v>
      </c>
    </row>
    <row r="83" spans="1:21" x14ac:dyDescent="0.25">
      <c r="A83" s="156">
        <f>Données!A83</f>
        <v>5534</v>
      </c>
      <c r="B83" s="157" t="str">
        <f>Données!B83</f>
        <v>Rueyres</v>
      </c>
      <c r="C83" s="304">
        <f>Données!C83</f>
        <v>302</v>
      </c>
      <c r="D83" s="300">
        <f t="shared" si="18"/>
        <v>302</v>
      </c>
      <c r="E83" s="300">
        <f t="shared" si="23"/>
        <v>0</v>
      </c>
      <c r="F83" s="305">
        <f t="shared" si="28"/>
        <v>0</v>
      </c>
      <c r="G83" s="299">
        <f t="shared" si="28"/>
        <v>0</v>
      </c>
      <c r="H83" s="300">
        <f t="shared" si="28"/>
        <v>0</v>
      </c>
      <c r="I83" s="305">
        <f t="shared" si="28"/>
        <v>0</v>
      </c>
      <c r="J83" s="306">
        <f t="shared" si="19"/>
        <v>0</v>
      </c>
      <c r="K83" s="299"/>
      <c r="L83" s="300">
        <f t="shared" si="20"/>
        <v>-40363.748763600393</v>
      </c>
      <c r="M83" s="305">
        <f t="shared" si="26"/>
        <v>181565.09306161918</v>
      </c>
      <c r="N83" s="307">
        <f t="shared" si="21"/>
        <v>141201.34429801878</v>
      </c>
      <c r="O83" s="299"/>
      <c r="P83" s="308" t="str">
        <f>Données!AC83</f>
        <v/>
      </c>
      <c r="Q83" s="304" t="str">
        <f>Données!AD83</f>
        <v/>
      </c>
      <c r="R83" s="299">
        <f t="shared" si="24"/>
        <v>0</v>
      </c>
      <c r="S83" s="305">
        <f t="shared" si="25"/>
        <v>0</v>
      </c>
      <c r="T83" s="299">
        <f t="shared" si="27"/>
        <v>30549.332757425571</v>
      </c>
      <c r="U83" s="309">
        <f t="shared" si="22"/>
        <v>30549.332757425571</v>
      </c>
    </row>
    <row r="84" spans="1:21" x14ac:dyDescent="0.25">
      <c r="A84" s="156">
        <f>Données!A84</f>
        <v>5535</v>
      </c>
      <c r="B84" s="157" t="str">
        <f>Données!B84</f>
        <v>Saint-Barthélemy</v>
      </c>
      <c r="C84" s="304">
        <f>Données!C84</f>
        <v>838</v>
      </c>
      <c r="D84" s="300">
        <f t="shared" si="18"/>
        <v>838</v>
      </c>
      <c r="E84" s="300">
        <f t="shared" si="23"/>
        <v>0</v>
      </c>
      <c r="F84" s="305">
        <f t="shared" si="28"/>
        <v>0</v>
      </c>
      <c r="G84" s="299">
        <f t="shared" si="28"/>
        <v>0</v>
      </c>
      <c r="H84" s="300">
        <f t="shared" si="28"/>
        <v>0</v>
      </c>
      <c r="I84" s="305">
        <f t="shared" si="28"/>
        <v>0</v>
      </c>
      <c r="J84" s="306">
        <f t="shared" si="19"/>
        <v>0</v>
      </c>
      <c r="K84" s="299"/>
      <c r="L84" s="300">
        <f t="shared" si="20"/>
        <v>-112002.72007912956</v>
      </c>
      <c r="M84" s="305">
        <f t="shared" si="26"/>
        <v>503813.07280012209</v>
      </c>
      <c r="N84" s="307">
        <f t="shared" si="21"/>
        <v>391810.35272099252</v>
      </c>
      <c r="O84" s="299"/>
      <c r="P84" s="308" t="str">
        <f>Données!AC84</f>
        <v/>
      </c>
      <c r="Q84" s="304" t="str">
        <f>Données!AD84</f>
        <v/>
      </c>
      <c r="R84" s="299">
        <f t="shared" si="24"/>
        <v>0</v>
      </c>
      <c r="S84" s="305">
        <f t="shared" si="25"/>
        <v>0</v>
      </c>
      <c r="T84" s="299">
        <f t="shared" si="27"/>
        <v>84769.340565306717</v>
      </c>
      <c r="U84" s="309">
        <f t="shared" si="22"/>
        <v>84769.340565306717</v>
      </c>
    </row>
    <row r="85" spans="1:21" x14ac:dyDescent="0.25">
      <c r="A85" s="156">
        <f>Données!A85</f>
        <v>5537</v>
      </c>
      <c r="B85" s="157" t="str">
        <f>Données!B85</f>
        <v>Villars-le-Terroir</v>
      </c>
      <c r="C85" s="304">
        <f>Données!C85</f>
        <v>1334</v>
      </c>
      <c r="D85" s="300">
        <f t="shared" si="18"/>
        <v>1000</v>
      </c>
      <c r="E85" s="300">
        <f t="shared" si="23"/>
        <v>334</v>
      </c>
      <c r="F85" s="305">
        <f t="shared" si="28"/>
        <v>0</v>
      </c>
      <c r="G85" s="299">
        <f t="shared" si="28"/>
        <v>0</v>
      </c>
      <c r="H85" s="300">
        <f t="shared" si="28"/>
        <v>0</v>
      </c>
      <c r="I85" s="305">
        <f t="shared" si="28"/>
        <v>0</v>
      </c>
      <c r="J85" s="306">
        <f t="shared" si="19"/>
        <v>0</v>
      </c>
      <c r="K85" s="299"/>
      <c r="L85" s="300">
        <f t="shared" si="20"/>
        <v>-258648.76360039564</v>
      </c>
      <c r="M85" s="305">
        <f t="shared" si="26"/>
        <v>802012.69584172172</v>
      </c>
      <c r="N85" s="307">
        <f t="shared" si="21"/>
        <v>543363.93224132608</v>
      </c>
      <c r="O85" s="299"/>
      <c r="P85" s="308" t="str">
        <f>Données!AC85</f>
        <v/>
      </c>
      <c r="Q85" s="304" t="str">
        <f>Données!AD85</f>
        <v/>
      </c>
      <c r="R85" s="299">
        <f t="shared" si="24"/>
        <v>0</v>
      </c>
      <c r="S85" s="305">
        <f t="shared" si="25"/>
        <v>0</v>
      </c>
      <c r="T85" s="299">
        <f t="shared" si="27"/>
        <v>134943.07913379374</v>
      </c>
      <c r="U85" s="309">
        <f t="shared" si="22"/>
        <v>134943.07913379374</v>
      </c>
    </row>
    <row r="86" spans="1:21" x14ac:dyDescent="0.25">
      <c r="A86" s="156">
        <f>Données!A86</f>
        <v>5539</v>
      </c>
      <c r="B86" s="157" t="str">
        <f>Données!B86</f>
        <v>Vuarrens</v>
      </c>
      <c r="C86" s="304">
        <f>Données!C86</f>
        <v>1113</v>
      </c>
      <c r="D86" s="300">
        <f t="shared" si="18"/>
        <v>1000</v>
      </c>
      <c r="E86" s="300">
        <f t="shared" si="23"/>
        <v>113</v>
      </c>
      <c r="F86" s="305">
        <f t="shared" si="28"/>
        <v>0</v>
      </c>
      <c r="G86" s="299">
        <f t="shared" si="28"/>
        <v>0</v>
      </c>
      <c r="H86" s="300">
        <f t="shared" si="28"/>
        <v>0</v>
      </c>
      <c r="I86" s="305">
        <f t="shared" si="28"/>
        <v>0</v>
      </c>
      <c r="J86" s="306">
        <f t="shared" si="19"/>
        <v>0</v>
      </c>
      <c r="K86" s="299"/>
      <c r="L86" s="300">
        <f t="shared" si="20"/>
        <v>-175943.17507418396</v>
      </c>
      <c r="M86" s="305">
        <f t="shared" si="26"/>
        <v>669145.52509133157</v>
      </c>
      <c r="N86" s="307">
        <f t="shared" si="21"/>
        <v>493202.3500171476</v>
      </c>
      <c r="O86" s="299"/>
      <c r="P86" s="308" t="str">
        <f>Données!AC86</f>
        <v/>
      </c>
      <c r="Q86" s="304" t="str">
        <f>Données!AD86</f>
        <v/>
      </c>
      <c r="R86" s="299">
        <f t="shared" si="24"/>
        <v>0</v>
      </c>
      <c r="S86" s="305">
        <f t="shared" si="25"/>
        <v>0</v>
      </c>
      <c r="T86" s="299">
        <f t="shared" si="27"/>
        <v>112587.44158614126</v>
      </c>
      <c r="U86" s="309">
        <f t="shared" si="22"/>
        <v>112587.44158614126</v>
      </c>
    </row>
    <row r="87" spans="1:21" x14ac:dyDescent="0.25">
      <c r="A87" s="156">
        <f>Données!A87</f>
        <v>5540</v>
      </c>
      <c r="B87" s="157" t="str">
        <f>Données!B87</f>
        <v>Montilliez</v>
      </c>
      <c r="C87" s="304">
        <f>Données!C87</f>
        <v>1856</v>
      </c>
      <c r="D87" s="300">
        <f t="shared" si="18"/>
        <v>1000</v>
      </c>
      <c r="E87" s="300">
        <f t="shared" si="23"/>
        <v>856</v>
      </c>
      <c r="F87" s="305">
        <f t="shared" ref="F87:I96" si="29">IF($C87&lt;F$4,0,IF($C87&gt;F$5,F$5-F$4,$C87-F$4))</f>
        <v>0</v>
      </c>
      <c r="G87" s="299">
        <f t="shared" si="29"/>
        <v>0</v>
      </c>
      <c r="H87" s="300">
        <f t="shared" si="29"/>
        <v>0</v>
      </c>
      <c r="I87" s="305">
        <f t="shared" si="29"/>
        <v>0</v>
      </c>
      <c r="J87" s="306">
        <f t="shared" si="19"/>
        <v>0</v>
      </c>
      <c r="K87" s="299"/>
      <c r="L87" s="300">
        <f t="shared" si="20"/>
        <v>-453998.61523244309</v>
      </c>
      <c r="M87" s="305">
        <f t="shared" si="26"/>
        <v>1115843.7507363085</v>
      </c>
      <c r="N87" s="307">
        <f t="shared" si="21"/>
        <v>661845.13550386543</v>
      </c>
      <c r="O87" s="299"/>
      <c r="P87" s="308" t="str">
        <f>Données!AC87</f>
        <v/>
      </c>
      <c r="Q87" s="304" t="str">
        <f>Données!AD87</f>
        <v/>
      </c>
      <c r="R87" s="299">
        <f t="shared" si="24"/>
        <v>0</v>
      </c>
      <c r="S87" s="305">
        <f t="shared" si="25"/>
        <v>0</v>
      </c>
      <c r="T87" s="299">
        <f t="shared" si="27"/>
        <v>187746.89270788696</v>
      </c>
      <c r="U87" s="309">
        <f t="shared" si="22"/>
        <v>187746.89270788696</v>
      </c>
    </row>
    <row r="88" spans="1:21" x14ac:dyDescent="0.25">
      <c r="A88" s="156">
        <f>Données!A88</f>
        <v>5541</v>
      </c>
      <c r="B88" s="157" t="str">
        <f>Données!B88</f>
        <v>Goumoëns</v>
      </c>
      <c r="C88" s="304">
        <f>Données!C88</f>
        <v>1251</v>
      </c>
      <c r="D88" s="300">
        <f t="shared" si="18"/>
        <v>1000</v>
      </c>
      <c r="E88" s="300">
        <f t="shared" si="23"/>
        <v>251</v>
      </c>
      <c r="F88" s="305">
        <f t="shared" si="29"/>
        <v>0</v>
      </c>
      <c r="G88" s="299">
        <f t="shared" si="29"/>
        <v>0</v>
      </c>
      <c r="H88" s="300">
        <f t="shared" si="29"/>
        <v>0</v>
      </c>
      <c r="I88" s="305">
        <f t="shared" si="29"/>
        <v>0</v>
      </c>
      <c r="J88" s="306">
        <f t="shared" si="19"/>
        <v>0</v>
      </c>
      <c r="K88" s="299"/>
      <c r="L88" s="300">
        <f t="shared" si="20"/>
        <v>-227587.38872403558</v>
      </c>
      <c r="M88" s="305">
        <f t="shared" si="26"/>
        <v>752112.35569564765</v>
      </c>
      <c r="N88" s="307">
        <f t="shared" si="21"/>
        <v>524524.96697161207</v>
      </c>
      <c r="O88" s="299"/>
      <c r="P88" s="308" t="str">
        <f>Données!AC88</f>
        <v/>
      </c>
      <c r="Q88" s="304" t="str">
        <f>Données!AD88</f>
        <v/>
      </c>
      <c r="R88" s="299">
        <f t="shared" si="24"/>
        <v>0</v>
      </c>
      <c r="S88" s="305">
        <f t="shared" si="25"/>
        <v>0</v>
      </c>
      <c r="T88" s="299">
        <f t="shared" si="27"/>
        <v>126547.07046205096</v>
      </c>
      <c r="U88" s="309">
        <f t="shared" si="22"/>
        <v>126547.07046205096</v>
      </c>
    </row>
    <row r="89" spans="1:21" x14ac:dyDescent="0.25">
      <c r="A89" s="156">
        <f>Données!A89</f>
        <v>5551</v>
      </c>
      <c r="B89" s="157" t="str">
        <f>Données!B89</f>
        <v>Bonvillars</v>
      </c>
      <c r="C89" s="304">
        <f>Données!C89</f>
        <v>517</v>
      </c>
      <c r="D89" s="300">
        <f t="shared" si="18"/>
        <v>517</v>
      </c>
      <c r="E89" s="300">
        <f t="shared" si="23"/>
        <v>0</v>
      </c>
      <c r="F89" s="305">
        <f t="shared" si="29"/>
        <v>0</v>
      </c>
      <c r="G89" s="299">
        <f t="shared" si="29"/>
        <v>0</v>
      </c>
      <c r="H89" s="300">
        <f t="shared" si="29"/>
        <v>0</v>
      </c>
      <c r="I89" s="305">
        <f t="shared" si="29"/>
        <v>0</v>
      </c>
      <c r="J89" s="306">
        <f t="shared" si="19"/>
        <v>0</v>
      </c>
      <c r="K89" s="299"/>
      <c r="L89" s="300">
        <f t="shared" si="20"/>
        <v>-69099.530168150348</v>
      </c>
      <c r="M89" s="305">
        <f t="shared" si="26"/>
        <v>310825.01030747389</v>
      </c>
      <c r="N89" s="307">
        <f t="shared" si="21"/>
        <v>241725.48013932354</v>
      </c>
      <c r="O89" s="299"/>
      <c r="P89" s="308" t="str">
        <f>Données!AC89</f>
        <v/>
      </c>
      <c r="Q89" s="304" t="str">
        <f>Données!AD89</f>
        <v/>
      </c>
      <c r="R89" s="299">
        <f t="shared" si="24"/>
        <v>0</v>
      </c>
      <c r="S89" s="305">
        <f t="shared" si="25"/>
        <v>0</v>
      </c>
      <c r="T89" s="299">
        <f t="shared" si="27"/>
        <v>52298.029919168941</v>
      </c>
      <c r="U89" s="309">
        <f t="shared" si="22"/>
        <v>52298.029919168941</v>
      </c>
    </row>
    <row r="90" spans="1:21" x14ac:dyDescent="0.25">
      <c r="A90" s="156">
        <f>Données!A90</f>
        <v>5552</v>
      </c>
      <c r="B90" s="157" t="str">
        <f>Données!B90</f>
        <v>Bullet</v>
      </c>
      <c r="C90" s="304">
        <f>Données!C90</f>
        <v>687</v>
      </c>
      <c r="D90" s="300">
        <f t="shared" si="18"/>
        <v>687</v>
      </c>
      <c r="E90" s="300">
        <f t="shared" si="23"/>
        <v>0</v>
      </c>
      <c r="F90" s="305">
        <f t="shared" si="29"/>
        <v>0</v>
      </c>
      <c r="G90" s="299">
        <f t="shared" si="29"/>
        <v>0</v>
      </c>
      <c r="H90" s="300">
        <f t="shared" si="29"/>
        <v>0</v>
      </c>
      <c r="I90" s="305">
        <f t="shared" si="29"/>
        <v>0</v>
      </c>
      <c r="J90" s="306">
        <f t="shared" si="19"/>
        <v>0</v>
      </c>
      <c r="K90" s="299"/>
      <c r="L90" s="300">
        <f t="shared" si="20"/>
        <v>-91820.845697329365</v>
      </c>
      <c r="M90" s="305">
        <f t="shared" si="26"/>
        <v>413030.52626931248</v>
      </c>
      <c r="N90" s="307">
        <f t="shared" si="21"/>
        <v>321209.6805719831</v>
      </c>
      <c r="O90" s="299"/>
      <c r="P90" s="308" t="str">
        <f>Données!AC90</f>
        <v/>
      </c>
      <c r="Q90" s="304" t="str">
        <f>Données!AD90</f>
        <v/>
      </c>
      <c r="R90" s="299">
        <f t="shared" si="24"/>
        <v>0</v>
      </c>
      <c r="S90" s="305">
        <f t="shared" si="25"/>
        <v>0</v>
      </c>
      <c r="T90" s="299">
        <f t="shared" si="27"/>
        <v>69494.674186593926</v>
      </c>
      <c r="U90" s="309">
        <f t="shared" si="22"/>
        <v>69494.674186593926</v>
      </c>
    </row>
    <row r="91" spans="1:21" x14ac:dyDescent="0.25">
      <c r="A91" s="156">
        <f>Données!A91</f>
        <v>5553</v>
      </c>
      <c r="B91" s="157" t="str">
        <f>Données!B91</f>
        <v>Champagne</v>
      </c>
      <c r="C91" s="304">
        <f>Données!C91</f>
        <v>1087</v>
      </c>
      <c r="D91" s="300">
        <f t="shared" si="18"/>
        <v>1000</v>
      </c>
      <c r="E91" s="300">
        <f t="shared" si="23"/>
        <v>87</v>
      </c>
      <c r="F91" s="305">
        <f t="shared" si="29"/>
        <v>0</v>
      </c>
      <c r="G91" s="299">
        <f t="shared" si="29"/>
        <v>0</v>
      </c>
      <c r="H91" s="300">
        <f t="shared" si="29"/>
        <v>0</v>
      </c>
      <c r="I91" s="305">
        <f t="shared" si="29"/>
        <v>0</v>
      </c>
      <c r="J91" s="306">
        <f t="shared" si="19"/>
        <v>0</v>
      </c>
      <c r="K91" s="299"/>
      <c r="L91" s="300">
        <f t="shared" si="20"/>
        <v>-166213.10583580611</v>
      </c>
      <c r="M91" s="305">
        <f t="shared" si="26"/>
        <v>653514.09323834453</v>
      </c>
      <c r="N91" s="307">
        <f t="shared" si="21"/>
        <v>487300.98740253842</v>
      </c>
      <c r="O91" s="299"/>
      <c r="P91" s="308" t="str">
        <f>Données!AC91</f>
        <v/>
      </c>
      <c r="Q91" s="304" t="str">
        <f>Données!AD91</f>
        <v/>
      </c>
      <c r="R91" s="299">
        <f t="shared" si="24"/>
        <v>0</v>
      </c>
      <c r="S91" s="305">
        <f t="shared" si="25"/>
        <v>0</v>
      </c>
      <c r="T91" s="299">
        <f t="shared" si="27"/>
        <v>109957.36658053509</v>
      </c>
      <c r="U91" s="309">
        <f t="shared" si="22"/>
        <v>109957.36658053509</v>
      </c>
    </row>
    <row r="92" spans="1:21" x14ac:dyDescent="0.25">
      <c r="A92" s="156">
        <f>Données!A92</f>
        <v>5554</v>
      </c>
      <c r="B92" s="157" t="str">
        <f>Données!B92</f>
        <v>Concise</v>
      </c>
      <c r="C92" s="304">
        <f>Données!C92</f>
        <v>1035</v>
      </c>
      <c r="D92" s="300">
        <f t="shared" si="18"/>
        <v>1000</v>
      </c>
      <c r="E92" s="300">
        <f t="shared" si="23"/>
        <v>35</v>
      </c>
      <c r="F92" s="305">
        <f t="shared" si="29"/>
        <v>0</v>
      </c>
      <c r="G92" s="299">
        <f t="shared" si="29"/>
        <v>0</v>
      </c>
      <c r="H92" s="300">
        <f t="shared" si="29"/>
        <v>0</v>
      </c>
      <c r="I92" s="305">
        <f t="shared" si="29"/>
        <v>0</v>
      </c>
      <c r="J92" s="306">
        <f t="shared" si="19"/>
        <v>0</v>
      </c>
      <c r="K92" s="299"/>
      <c r="L92" s="300">
        <f t="shared" si="20"/>
        <v>-146752.96735905044</v>
      </c>
      <c r="M92" s="305">
        <f t="shared" si="26"/>
        <v>622251.22953237034</v>
      </c>
      <c r="N92" s="307">
        <f t="shared" si="21"/>
        <v>475498.26217331993</v>
      </c>
      <c r="O92" s="299"/>
      <c r="P92" s="308" t="str">
        <f>Données!AC92</f>
        <v/>
      </c>
      <c r="Q92" s="304" t="str">
        <f>Données!AD92</f>
        <v/>
      </c>
      <c r="R92" s="299">
        <f t="shared" si="24"/>
        <v>0</v>
      </c>
      <c r="S92" s="305">
        <f t="shared" si="25"/>
        <v>0</v>
      </c>
      <c r="T92" s="299">
        <f t="shared" si="27"/>
        <v>104697.21656932273</v>
      </c>
      <c r="U92" s="309">
        <f t="shared" si="22"/>
        <v>104697.21656932273</v>
      </c>
    </row>
    <row r="93" spans="1:21" x14ac:dyDescent="0.25">
      <c r="A93" s="156">
        <f>Données!A93</f>
        <v>5555</v>
      </c>
      <c r="B93" s="157" t="str">
        <f>Données!B93</f>
        <v>Corcelles-près-Concise</v>
      </c>
      <c r="C93" s="304">
        <f>Données!C93</f>
        <v>439</v>
      </c>
      <c r="D93" s="300">
        <f t="shared" si="18"/>
        <v>439</v>
      </c>
      <c r="E93" s="300">
        <f t="shared" si="23"/>
        <v>0</v>
      </c>
      <c r="F93" s="305">
        <f t="shared" si="29"/>
        <v>0</v>
      </c>
      <c r="G93" s="299">
        <f t="shared" si="29"/>
        <v>0</v>
      </c>
      <c r="H93" s="300">
        <f t="shared" si="29"/>
        <v>0</v>
      </c>
      <c r="I93" s="305">
        <f t="shared" si="29"/>
        <v>0</v>
      </c>
      <c r="J93" s="306">
        <f t="shared" si="19"/>
        <v>0</v>
      </c>
      <c r="K93" s="299"/>
      <c r="L93" s="300">
        <f t="shared" si="20"/>
        <v>-58674.455984174085</v>
      </c>
      <c r="M93" s="305">
        <f t="shared" si="26"/>
        <v>263930.71474851266</v>
      </c>
      <c r="N93" s="307">
        <f t="shared" si="21"/>
        <v>205256.25876433856</v>
      </c>
      <c r="O93" s="299"/>
      <c r="P93" s="308" t="str">
        <f>Données!AC93</f>
        <v/>
      </c>
      <c r="Q93" s="304" t="str">
        <f>Données!AD93</f>
        <v/>
      </c>
      <c r="R93" s="299">
        <f t="shared" si="24"/>
        <v>0</v>
      </c>
      <c r="S93" s="305">
        <f t="shared" si="25"/>
        <v>0</v>
      </c>
      <c r="T93" s="299">
        <f t="shared" si="27"/>
        <v>44407.804902350414</v>
      </c>
      <c r="U93" s="309">
        <f t="shared" si="22"/>
        <v>44407.804902350414</v>
      </c>
    </row>
    <row r="94" spans="1:21" x14ac:dyDescent="0.25">
      <c r="A94" s="156">
        <f>Données!A94</f>
        <v>5556</v>
      </c>
      <c r="B94" s="157" t="str">
        <f>Données!B94</f>
        <v>Fiez</v>
      </c>
      <c r="C94" s="304">
        <f>Données!C94</f>
        <v>421</v>
      </c>
      <c r="D94" s="300">
        <f t="shared" si="18"/>
        <v>421</v>
      </c>
      <c r="E94" s="300">
        <f t="shared" si="23"/>
        <v>0</v>
      </c>
      <c r="F94" s="305">
        <f t="shared" si="29"/>
        <v>0</v>
      </c>
      <c r="G94" s="299">
        <f t="shared" si="29"/>
        <v>0</v>
      </c>
      <c r="H94" s="300">
        <f t="shared" si="29"/>
        <v>0</v>
      </c>
      <c r="I94" s="305">
        <f t="shared" si="29"/>
        <v>0</v>
      </c>
      <c r="J94" s="306">
        <f t="shared" si="19"/>
        <v>0</v>
      </c>
      <c r="K94" s="299"/>
      <c r="L94" s="300">
        <f t="shared" si="20"/>
        <v>-56268.669634025711</v>
      </c>
      <c r="M94" s="305">
        <f t="shared" si="26"/>
        <v>253108.95423490621</v>
      </c>
      <c r="N94" s="307">
        <f t="shared" si="21"/>
        <v>196840.28460088049</v>
      </c>
      <c r="O94" s="299"/>
      <c r="P94" s="308" t="str">
        <f>Données!AC94</f>
        <v/>
      </c>
      <c r="Q94" s="304" t="str">
        <f>Données!AD94</f>
        <v/>
      </c>
      <c r="R94" s="299">
        <f t="shared" si="24"/>
        <v>0</v>
      </c>
      <c r="S94" s="305">
        <f t="shared" si="25"/>
        <v>0</v>
      </c>
      <c r="T94" s="299">
        <f t="shared" si="27"/>
        <v>42586.983744623067</v>
      </c>
      <c r="U94" s="309">
        <f t="shared" si="22"/>
        <v>42586.983744623067</v>
      </c>
    </row>
    <row r="95" spans="1:21" x14ac:dyDescent="0.25">
      <c r="A95" s="156">
        <f>Données!A95</f>
        <v>5557</v>
      </c>
      <c r="B95" s="157" t="str">
        <f>Données!B95</f>
        <v>Fontaines-sur-Grandson</v>
      </c>
      <c r="C95" s="304">
        <f>Données!C95</f>
        <v>228</v>
      </c>
      <c r="D95" s="300">
        <f t="shared" si="18"/>
        <v>228</v>
      </c>
      <c r="E95" s="300">
        <f t="shared" si="23"/>
        <v>0</v>
      </c>
      <c r="F95" s="305">
        <f t="shared" si="29"/>
        <v>0</v>
      </c>
      <c r="G95" s="299">
        <f t="shared" si="29"/>
        <v>0</v>
      </c>
      <c r="H95" s="300">
        <f t="shared" si="29"/>
        <v>0</v>
      </c>
      <c r="I95" s="305">
        <f t="shared" si="29"/>
        <v>0</v>
      </c>
      <c r="J95" s="306">
        <f t="shared" si="19"/>
        <v>0</v>
      </c>
      <c r="K95" s="299"/>
      <c r="L95" s="300">
        <f t="shared" si="20"/>
        <v>-30473.293768545991</v>
      </c>
      <c r="M95" s="305">
        <f t="shared" si="26"/>
        <v>137075.63317234826</v>
      </c>
      <c r="N95" s="307">
        <f t="shared" si="21"/>
        <v>106602.33940380227</v>
      </c>
      <c r="O95" s="299"/>
      <c r="P95" s="308" t="str">
        <f>Données!AC95</f>
        <v/>
      </c>
      <c r="Q95" s="304" t="str">
        <f>Données!AD95</f>
        <v/>
      </c>
      <c r="R95" s="299">
        <f t="shared" si="24"/>
        <v>0</v>
      </c>
      <c r="S95" s="305">
        <f t="shared" si="25"/>
        <v>0</v>
      </c>
      <c r="T95" s="299">
        <f t="shared" si="27"/>
        <v>23063.734664546457</v>
      </c>
      <c r="U95" s="309">
        <f t="shared" si="22"/>
        <v>23063.734664546457</v>
      </c>
    </row>
    <row r="96" spans="1:21" x14ac:dyDescent="0.25">
      <c r="A96" s="156">
        <f>Données!A96</f>
        <v>5559</v>
      </c>
      <c r="B96" s="157" t="str">
        <f>Données!B96</f>
        <v>Giez</v>
      </c>
      <c r="C96" s="304">
        <f>Données!C96</f>
        <v>464</v>
      </c>
      <c r="D96" s="300">
        <f t="shared" si="18"/>
        <v>464</v>
      </c>
      <c r="E96" s="300">
        <f t="shared" si="23"/>
        <v>0</v>
      </c>
      <c r="F96" s="305">
        <f t="shared" si="29"/>
        <v>0</v>
      </c>
      <c r="G96" s="299">
        <f t="shared" si="29"/>
        <v>0</v>
      </c>
      <c r="H96" s="300">
        <f t="shared" si="29"/>
        <v>0</v>
      </c>
      <c r="I96" s="305">
        <f t="shared" si="29"/>
        <v>0</v>
      </c>
      <c r="J96" s="306">
        <f t="shared" si="19"/>
        <v>0</v>
      </c>
      <c r="K96" s="299"/>
      <c r="L96" s="300">
        <f t="shared" si="20"/>
        <v>-62015.825914935704</v>
      </c>
      <c r="M96" s="305">
        <f t="shared" si="26"/>
        <v>278960.93768407713</v>
      </c>
      <c r="N96" s="307">
        <f t="shared" si="21"/>
        <v>216945.11176914143</v>
      </c>
      <c r="O96" s="299"/>
      <c r="P96" s="308" t="str">
        <f>Données!AC96</f>
        <v/>
      </c>
      <c r="Q96" s="304" t="str">
        <f>Données!AD96</f>
        <v/>
      </c>
      <c r="R96" s="299">
        <f t="shared" si="24"/>
        <v>0</v>
      </c>
      <c r="S96" s="305">
        <f t="shared" si="25"/>
        <v>0</v>
      </c>
      <c r="T96" s="299">
        <f t="shared" si="27"/>
        <v>46936.72317697174</v>
      </c>
      <c r="U96" s="309">
        <f t="shared" si="22"/>
        <v>46936.72317697174</v>
      </c>
    </row>
    <row r="97" spans="1:21" x14ac:dyDescent="0.25">
      <c r="A97" s="156">
        <f>Données!A97</f>
        <v>5560</v>
      </c>
      <c r="B97" s="157" t="str">
        <f>Données!B97</f>
        <v>Grandevent</v>
      </c>
      <c r="C97" s="304">
        <f>Données!C97</f>
        <v>241</v>
      </c>
      <c r="D97" s="300">
        <f t="shared" si="18"/>
        <v>241</v>
      </c>
      <c r="E97" s="300">
        <f t="shared" si="23"/>
        <v>0</v>
      </c>
      <c r="F97" s="305">
        <f t="shared" ref="F97:I106" si="30">IF($C97&lt;F$4,0,IF($C97&gt;F$5,F$5-F$4,$C97-F$4))</f>
        <v>0</v>
      </c>
      <c r="G97" s="299">
        <f t="shared" si="30"/>
        <v>0</v>
      </c>
      <c r="H97" s="300">
        <f t="shared" si="30"/>
        <v>0</v>
      </c>
      <c r="I97" s="305">
        <f t="shared" si="30"/>
        <v>0</v>
      </c>
      <c r="J97" s="306">
        <f t="shared" si="19"/>
        <v>0</v>
      </c>
      <c r="K97" s="299"/>
      <c r="L97" s="300">
        <f t="shared" si="20"/>
        <v>-32210.806132542035</v>
      </c>
      <c r="M97" s="305">
        <f t="shared" si="26"/>
        <v>144891.34909884178</v>
      </c>
      <c r="N97" s="307">
        <f t="shared" si="21"/>
        <v>112680.54296629975</v>
      </c>
      <c r="O97" s="299"/>
      <c r="P97" s="308" t="str">
        <f>Données!AC97</f>
        <v/>
      </c>
      <c r="Q97" s="304" t="str">
        <f>Données!AD97</f>
        <v/>
      </c>
      <c r="R97" s="299">
        <f t="shared" si="24"/>
        <v>0</v>
      </c>
      <c r="S97" s="305">
        <f t="shared" si="25"/>
        <v>0</v>
      </c>
      <c r="T97" s="299">
        <f t="shared" si="27"/>
        <v>24378.772167349547</v>
      </c>
      <c r="U97" s="309">
        <f t="shared" si="22"/>
        <v>24378.772167349547</v>
      </c>
    </row>
    <row r="98" spans="1:21" x14ac:dyDescent="0.25">
      <c r="A98" s="156">
        <f>Données!A98</f>
        <v>5561</v>
      </c>
      <c r="B98" s="157" t="str">
        <f>Données!B98</f>
        <v>Grandson</v>
      </c>
      <c r="C98" s="304">
        <f>Données!C98</f>
        <v>3391</v>
      </c>
      <c r="D98" s="300">
        <f t="shared" si="18"/>
        <v>1000</v>
      </c>
      <c r="E98" s="300">
        <f t="shared" si="23"/>
        <v>2000</v>
      </c>
      <c r="F98" s="305">
        <f t="shared" si="30"/>
        <v>391</v>
      </c>
      <c r="G98" s="299">
        <f t="shared" si="30"/>
        <v>0</v>
      </c>
      <c r="H98" s="300">
        <f t="shared" si="30"/>
        <v>0</v>
      </c>
      <c r="I98" s="305">
        <f t="shared" si="30"/>
        <v>0</v>
      </c>
      <c r="J98" s="306">
        <f t="shared" si="19"/>
        <v>0</v>
      </c>
      <c r="K98" s="299"/>
      <c r="L98" s="300">
        <f t="shared" si="20"/>
        <v>-1143416.7903066271</v>
      </c>
      <c r="M98" s="305">
        <f t="shared" si="26"/>
        <v>2038699.4389799689</v>
      </c>
      <c r="N98" s="307">
        <f t="shared" si="21"/>
        <v>895282.64867334184</v>
      </c>
      <c r="O98" s="299"/>
      <c r="P98" s="308" t="str">
        <f>Données!AC98</f>
        <v/>
      </c>
      <c r="Q98" s="304" t="str">
        <f>Données!AD98</f>
        <v/>
      </c>
      <c r="R98" s="299">
        <f t="shared" si="24"/>
        <v>0</v>
      </c>
      <c r="S98" s="305">
        <f t="shared" si="25"/>
        <v>0</v>
      </c>
      <c r="T98" s="299">
        <f t="shared" si="27"/>
        <v>343022.47476963612</v>
      </c>
      <c r="U98" s="309">
        <f t="shared" si="22"/>
        <v>343022.47476963612</v>
      </c>
    </row>
    <row r="99" spans="1:21" x14ac:dyDescent="0.25">
      <c r="A99" s="156">
        <f>Données!A99</f>
        <v>5562</v>
      </c>
      <c r="B99" s="157" t="str">
        <f>Données!B99</f>
        <v>Mauborget</v>
      </c>
      <c r="C99" s="304">
        <f>Données!C99</f>
        <v>137</v>
      </c>
      <c r="D99" s="300">
        <f t="shared" si="18"/>
        <v>137</v>
      </c>
      <c r="E99" s="300">
        <f t="shared" si="23"/>
        <v>0</v>
      </c>
      <c r="F99" s="305">
        <f t="shared" si="30"/>
        <v>0</v>
      </c>
      <c r="G99" s="299">
        <f t="shared" si="30"/>
        <v>0</v>
      </c>
      <c r="H99" s="300">
        <f t="shared" si="30"/>
        <v>0</v>
      </c>
      <c r="I99" s="305">
        <f t="shared" si="30"/>
        <v>0</v>
      </c>
      <c r="J99" s="306">
        <f t="shared" si="19"/>
        <v>0</v>
      </c>
      <c r="K99" s="299"/>
      <c r="L99" s="300">
        <f t="shared" si="20"/>
        <v>-18310.707220573688</v>
      </c>
      <c r="M99" s="305">
        <f t="shared" si="26"/>
        <v>82365.621686893472</v>
      </c>
      <c r="N99" s="307">
        <f t="shared" si="21"/>
        <v>64054.91446631978</v>
      </c>
      <c r="O99" s="299"/>
      <c r="P99" s="308" t="str">
        <f>Données!AC99</f>
        <v/>
      </c>
      <c r="Q99" s="304" t="str">
        <f>Données!AD99</f>
        <v/>
      </c>
      <c r="R99" s="299">
        <f t="shared" si="24"/>
        <v>0</v>
      </c>
      <c r="S99" s="305">
        <f t="shared" si="25"/>
        <v>0</v>
      </c>
      <c r="T99" s="299">
        <f t="shared" si="27"/>
        <v>13858.472144924845</v>
      </c>
      <c r="U99" s="309">
        <f t="shared" si="22"/>
        <v>13858.472144924845</v>
      </c>
    </row>
    <row r="100" spans="1:21" x14ac:dyDescent="0.25">
      <c r="A100" s="156">
        <f>Données!A100</f>
        <v>5563</v>
      </c>
      <c r="B100" s="157" t="str">
        <f>Données!B100</f>
        <v>Mutrux</v>
      </c>
      <c r="C100" s="304">
        <f>Données!C100</f>
        <v>138</v>
      </c>
      <c r="D100" s="300">
        <f t="shared" si="18"/>
        <v>138</v>
      </c>
      <c r="E100" s="300">
        <f t="shared" si="23"/>
        <v>0</v>
      </c>
      <c r="F100" s="305">
        <f t="shared" si="30"/>
        <v>0</v>
      </c>
      <c r="G100" s="299">
        <f t="shared" si="30"/>
        <v>0</v>
      </c>
      <c r="H100" s="300">
        <f t="shared" si="30"/>
        <v>0</v>
      </c>
      <c r="I100" s="305">
        <f t="shared" si="30"/>
        <v>0</v>
      </c>
      <c r="J100" s="306">
        <f t="shared" si="19"/>
        <v>0</v>
      </c>
      <c r="K100" s="299"/>
      <c r="L100" s="300">
        <f t="shared" si="20"/>
        <v>-18444.362017804153</v>
      </c>
      <c r="M100" s="305">
        <f t="shared" si="26"/>
        <v>82966.830604316041</v>
      </c>
      <c r="N100" s="307">
        <f t="shared" si="21"/>
        <v>64522.468586511888</v>
      </c>
      <c r="O100" s="299"/>
      <c r="P100" s="308" t="str">
        <f>Données!AC100</f>
        <v/>
      </c>
      <c r="Q100" s="304" t="str">
        <f>Données!AD100</f>
        <v/>
      </c>
      <c r="R100" s="299">
        <f t="shared" si="24"/>
        <v>0</v>
      </c>
      <c r="S100" s="305">
        <f t="shared" si="25"/>
        <v>0</v>
      </c>
      <c r="T100" s="299">
        <f t="shared" si="27"/>
        <v>13959.628875909699</v>
      </c>
      <c r="U100" s="309">
        <f t="shared" si="22"/>
        <v>13959.628875909699</v>
      </c>
    </row>
    <row r="101" spans="1:21" x14ac:dyDescent="0.25">
      <c r="A101" s="156">
        <f>Données!A101</f>
        <v>5564</v>
      </c>
      <c r="B101" s="157" t="str">
        <f>Données!B101</f>
        <v>Novalles</v>
      </c>
      <c r="C101" s="304">
        <f>Données!C101</f>
        <v>105</v>
      </c>
      <c r="D101" s="300">
        <f t="shared" si="18"/>
        <v>105</v>
      </c>
      <c r="E101" s="300">
        <f t="shared" si="23"/>
        <v>0</v>
      </c>
      <c r="F101" s="305">
        <f t="shared" si="30"/>
        <v>0</v>
      </c>
      <c r="G101" s="299">
        <f t="shared" si="30"/>
        <v>0</v>
      </c>
      <c r="H101" s="300">
        <f t="shared" si="30"/>
        <v>0</v>
      </c>
      <c r="I101" s="305">
        <f t="shared" si="30"/>
        <v>0</v>
      </c>
      <c r="J101" s="306">
        <f t="shared" si="19"/>
        <v>0</v>
      </c>
      <c r="K101" s="299"/>
      <c r="L101" s="300">
        <f t="shared" si="20"/>
        <v>-14033.753709198812</v>
      </c>
      <c r="M101" s="305">
        <f t="shared" si="26"/>
        <v>63126.936329370903</v>
      </c>
      <c r="N101" s="307">
        <f t="shared" si="21"/>
        <v>49093.182620172091</v>
      </c>
      <c r="O101" s="299"/>
      <c r="P101" s="308" t="str">
        <f>Données!AC101</f>
        <v/>
      </c>
      <c r="Q101" s="304" t="str">
        <f>Données!AD101</f>
        <v/>
      </c>
      <c r="R101" s="299">
        <f t="shared" si="24"/>
        <v>0</v>
      </c>
      <c r="S101" s="305">
        <f t="shared" si="25"/>
        <v>0</v>
      </c>
      <c r="T101" s="299">
        <f t="shared" si="27"/>
        <v>10621.456753409553</v>
      </c>
      <c r="U101" s="309">
        <f t="shared" si="22"/>
        <v>10621.456753409553</v>
      </c>
    </row>
    <row r="102" spans="1:21" x14ac:dyDescent="0.25">
      <c r="A102" s="156">
        <f>Données!A102</f>
        <v>5565</v>
      </c>
      <c r="B102" s="157" t="str">
        <f>Données!B102</f>
        <v>Onnens</v>
      </c>
      <c r="C102" s="304">
        <f>Données!C102</f>
        <v>527</v>
      </c>
      <c r="D102" s="300">
        <f t="shared" si="18"/>
        <v>527</v>
      </c>
      <c r="E102" s="300">
        <f t="shared" si="23"/>
        <v>0</v>
      </c>
      <c r="F102" s="305">
        <f t="shared" si="30"/>
        <v>0</v>
      </c>
      <c r="G102" s="299">
        <f t="shared" si="30"/>
        <v>0</v>
      </c>
      <c r="H102" s="300">
        <f t="shared" si="30"/>
        <v>0</v>
      </c>
      <c r="I102" s="305">
        <f t="shared" si="30"/>
        <v>0</v>
      </c>
      <c r="J102" s="306">
        <f t="shared" si="19"/>
        <v>0</v>
      </c>
      <c r="K102" s="299"/>
      <c r="L102" s="300">
        <f t="shared" si="20"/>
        <v>-70436.078140454993</v>
      </c>
      <c r="M102" s="305">
        <f t="shared" si="26"/>
        <v>316837.0994816997</v>
      </c>
      <c r="N102" s="307">
        <f t="shared" si="21"/>
        <v>246401.02134124469</v>
      </c>
      <c r="O102" s="299"/>
      <c r="P102" s="308" t="str">
        <f>Données!AC102</f>
        <v/>
      </c>
      <c r="Q102" s="304" t="str">
        <f>Données!AD102</f>
        <v/>
      </c>
      <c r="R102" s="299">
        <f t="shared" si="24"/>
        <v>0</v>
      </c>
      <c r="S102" s="305">
        <f t="shared" si="25"/>
        <v>0</v>
      </c>
      <c r="T102" s="299">
        <f t="shared" si="27"/>
        <v>53309.597229017469</v>
      </c>
      <c r="U102" s="309">
        <f t="shared" si="22"/>
        <v>53309.597229017469</v>
      </c>
    </row>
    <row r="103" spans="1:21" x14ac:dyDescent="0.25">
      <c r="A103" s="156">
        <f>Données!A103</f>
        <v>5566</v>
      </c>
      <c r="B103" s="157" t="str">
        <f>Données!B103</f>
        <v>Provence</v>
      </c>
      <c r="C103" s="304">
        <f>Données!C103</f>
        <v>421</v>
      </c>
      <c r="D103" s="300">
        <f t="shared" si="18"/>
        <v>421</v>
      </c>
      <c r="E103" s="300">
        <f t="shared" si="23"/>
        <v>0</v>
      </c>
      <c r="F103" s="305">
        <f t="shared" si="30"/>
        <v>0</v>
      </c>
      <c r="G103" s="299">
        <f t="shared" si="30"/>
        <v>0</v>
      </c>
      <c r="H103" s="300">
        <f t="shared" si="30"/>
        <v>0</v>
      </c>
      <c r="I103" s="305">
        <f t="shared" si="30"/>
        <v>0</v>
      </c>
      <c r="J103" s="306">
        <f t="shared" si="19"/>
        <v>0</v>
      </c>
      <c r="K103" s="299"/>
      <c r="L103" s="300">
        <f t="shared" si="20"/>
        <v>-56268.669634025711</v>
      </c>
      <c r="M103" s="305">
        <f t="shared" si="26"/>
        <v>253108.95423490621</v>
      </c>
      <c r="N103" s="307">
        <f t="shared" si="21"/>
        <v>196840.28460088049</v>
      </c>
      <c r="O103" s="299"/>
      <c r="P103" s="308" t="str">
        <f>Données!AC103</f>
        <v/>
      </c>
      <c r="Q103" s="304" t="str">
        <f>Données!AD103</f>
        <v/>
      </c>
      <c r="R103" s="299">
        <f t="shared" si="24"/>
        <v>0</v>
      </c>
      <c r="S103" s="305">
        <f t="shared" si="25"/>
        <v>0</v>
      </c>
      <c r="T103" s="299">
        <f t="shared" si="27"/>
        <v>42586.983744623067</v>
      </c>
      <c r="U103" s="309">
        <f t="shared" si="22"/>
        <v>42586.983744623067</v>
      </c>
    </row>
    <row r="104" spans="1:21" x14ac:dyDescent="0.25">
      <c r="A104" s="156">
        <f>Données!A104</f>
        <v>5568</v>
      </c>
      <c r="B104" s="157" t="str">
        <f>Données!B104</f>
        <v>Sainte-Croix</v>
      </c>
      <c r="C104" s="304">
        <f>Données!C104</f>
        <v>5149</v>
      </c>
      <c r="D104" s="300">
        <f t="shared" si="18"/>
        <v>1000</v>
      </c>
      <c r="E104" s="300">
        <f t="shared" si="23"/>
        <v>2000</v>
      </c>
      <c r="F104" s="305">
        <f t="shared" si="30"/>
        <v>2149</v>
      </c>
      <c r="G104" s="299">
        <f t="shared" si="30"/>
        <v>0</v>
      </c>
      <c r="H104" s="300">
        <f t="shared" si="30"/>
        <v>0</v>
      </c>
      <c r="I104" s="305">
        <f t="shared" si="30"/>
        <v>0</v>
      </c>
      <c r="J104" s="306">
        <f t="shared" si="19"/>
        <v>0</v>
      </c>
      <c r="K104" s="299"/>
      <c r="L104" s="300">
        <f t="shared" si="20"/>
        <v>-2318242.4579624133</v>
      </c>
      <c r="M104" s="305">
        <f t="shared" si="26"/>
        <v>3095624.7158088647</v>
      </c>
      <c r="N104" s="307">
        <f t="shared" si="21"/>
        <v>777382.25784645136</v>
      </c>
      <c r="O104" s="299"/>
      <c r="P104" s="308" t="str">
        <f>Données!AC104</f>
        <v/>
      </c>
      <c r="Q104" s="304" t="str">
        <f>Données!AD104</f>
        <v/>
      </c>
      <c r="R104" s="299">
        <f t="shared" si="24"/>
        <v>0</v>
      </c>
      <c r="S104" s="305">
        <f t="shared" si="25"/>
        <v>0</v>
      </c>
      <c r="T104" s="299">
        <f t="shared" si="27"/>
        <v>520856.00784100749</v>
      </c>
      <c r="U104" s="309">
        <f t="shared" si="22"/>
        <v>520856.00784100749</v>
      </c>
    </row>
    <row r="105" spans="1:21" x14ac:dyDescent="0.25">
      <c r="A105" s="156">
        <f>Données!A105</f>
        <v>5571</v>
      </c>
      <c r="B105" s="157" t="str">
        <f>Données!B105</f>
        <v>Tévenon</v>
      </c>
      <c r="C105" s="304">
        <f>Données!C105</f>
        <v>857</v>
      </c>
      <c r="D105" s="300">
        <f t="shared" si="18"/>
        <v>857</v>
      </c>
      <c r="E105" s="300">
        <f t="shared" si="23"/>
        <v>0</v>
      </c>
      <c r="F105" s="305">
        <f t="shared" si="30"/>
        <v>0</v>
      </c>
      <c r="G105" s="299">
        <f t="shared" si="30"/>
        <v>0</v>
      </c>
      <c r="H105" s="300">
        <f t="shared" si="30"/>
        <v>0</v>
      </c>
      <c r="I105" s="305">
        <f t="shared" si="30"/>
        <v>0</v>
      </c>
      <c r="J105" s="306">
        <f t="shared" si="19"/>
        <v>0</v>
      </c>
      <c r="K105" s="299"/>
      <c r="L105" s="300">
        <f t="shared" si="20"/>
        <v>-114542.1612265084</v>
      </c>
      <c r="M105" s="305">
        <f t="shared" si="26"/>
        <v>515236.04223115108</v>
      </c>
      <c r="N105" s="307">
        <f t="shared" si="21"/>
        <v>400693.8810046427</v>
      </c>
      <c r="O105" s="299"/>
      <c r="P105" s="308" t="str">
        <f>Données!AC105</f>
        <v/>
      </c>
      <c r="Q105" s="304" t="str">
        <f>Données!AD105</f>
        <v/>
      </c>
      <c r="R105" s="299">
        <f t="shared" si="24"/>
        <v>0</v>
      </c>
      <c r="S105" s="305">
        <f t="shared" si="25"/>
        <v>0</v>
      </c>
      <c r="T105" s="299">
        <f t="shared" si="27"/>
        <v>86691.318454018925</v>
      </c>
      <c r="U105" s="309">
        <f t="shared" si="22"/>
        <v>86691.318454018925</v>
      </c>
    </row>
    <row r="106" spans="1:21" x14ac:dyDescent="0.25">
      <c r="A106" s="156">
        <f>Données!A106</f>
        <v>5581</v>
      </c>
      <c r="B106" s="157" t="str">
        <f>Données!B106</f>
        <v>Belmont-sur-Lausanne</v>
      </c>
      <c r="C106" s="304">
        <f>Données!C106</f>
        <v>3891</v>
      </c>
      <c r="D106" s="300">
        <f t="shared" si="18"/>
        <v>1000</v>
      </c>
      <c r="E106" s="300">
        <f t="shared" si="23"/>
        <v>2000</v>
      </c>
      <c r="F106" s="305">
        <f t="shared" si="30"/>
        <v>891</v>
      </c>
      <c r="G106" s="299">
        <f t="shared" si="30"/>
        <v>0</v>
      </c>
      <c r="H106" s="300">
        <f t="shared" si="30"/>
        <v>0</v>
      </c>
      <c r="I106" s="305">
        <f t="shared" si="30"/>
        <v>0</v>
      </c>
      <c r="J106" s="306">
        <f t="shared" si="19"/>
        <v>0</v>
      </c>
      <c r="K106" s="299"/>
      <c r="L106" s="300">
        <f t="shared" si="20"/>
        <v>-1477553.7833827892</v>
      </c>
      <c r="M106" s="305">
        <f t="shared" si="26"/>
        <v>2339303.8976912592</v>
      </c>
      <c r="N106" s="307">
        <f t="shared" si="21"/>
        <v>861750.11430846993</v>
      </c>
      <c r="O106" s="299"/>
      <c r="P106" s="308">
        <f>Données!AC106</f>
        <v>1566933.96</v>
      </c>
      <c r="Q106" s="304">
        <f>Données!AD106</f>
        <v>-217422.07</v>
      </c>
      <c r="R106" s="299">
        <f t="shared" si="24"/>
        <v>1349511.89</v>
      </c>
      <c r="S106" s="305">
        <f t="shared" si="25"/>
        <v>-809707.13399999996</v>
      </c>
      <c r="T106" s="299">
        <f t="shared" si="27"/>
        <v>393600.84026206256</v>
      </c>
      <c r="U106" s="309">
        <f t="shared" si="22"/>
        <v>-416106.29373793741</v>
      </c>
    </row>
    <row r="107" spans="1:21" x14ac:dyDescent="0.25">
      <c r="A107" s="156">
        <f>Données!A107</f>
        <v>5582</v>
      </c>
      <c r="B107" s="157" t="str">
        <f>Données!B107</f>
        <v>Cheseaux-sur-Lausanne</v>
      </c>
      <c r="C107" s="304">
        <f>Données!C107</f>
        <v>4870</v>
      </c>
      <c r="D107" s="300">
        <f t="shared" si="18"/>
        <v>1000</v>
      </c>
      <c r="E107" s="300">
        <f t="shared" si="23"/>
        <v>2000</v>
      </c>
      <c r="F107" s="305">
        <f t="shared" ref="F107:I116" si="31">IF($C107&lt;F$4,0,IF($C107&gt;F$5,F$5-F$4,$C107-F$4))</f>
        <v>1870</v>
      </c>
      <c r="G107" s="299">
        <f t="shared" si="31"/>
        <v>0</v>
      </c>
      <c r="H107" s="300">
        <f t="shared" si="31"/>
        <v>0</v>
      </c>
      <c r="I107" s="305">
        <f t="shared" si="31"/>
        <v>0</v>
      </c>
      <c r="J107" s="306">
        <f t="shared" si="19"/>
        <v>0</v>
      </c>
      <c r="K107" s="299"/>
      <c r="L107" s="300">
        <f t="shared" si="20"/>
        <v>-2131794.0158259152</v>
      </c>
      <c r="M107" s="305">
        <f t="shared" si="26"/>
        <v>2927887.4278479647</v>
      </c>
      <c r="N107" s="307">
        <f t="shared" si="21"/>
        <v>796093.41202204954</v>
      </c>
      <c r="O107" s="299"/>
      <c r="P107" s="308" t="str">
        <f>Données!AC107</f>
        <v/>
      </c>
      <c r="Q107" s="304" t="str">
        <f>Données!AD107</f>
        <v/>
      </c>
      <c r="R107" s="299">
        <f t="shared" si="24"/>
        <v>0</v>
      </c>
      <c r="S107" s="305">
        <f t="shared" si="25"/>
        <v>0</v>
      </c>
      <c r="T107" s="299">
        <f t="shared" si="27"/>
        <v>492633.27989623352</v>
      </c>
      <c r="U107" s="309">
        <f t="shared" si="22"/>
        <v>492633.27989623352</v>
      </c>
    </row>
    <row r="108" spans="1:21" x14ac:dyDescent="0.25">
      <c r="A108" s="156">
        <f>Données!A108</f>
        <v>5583</v>
      </c>
      <c r="B108" s="157" t="str">
        <f>Données!B108</f>
        <v>Crissier</v>
      </c>
      <c r="C108" s="304">
        <f>Données!C108</f>
        <v>11116</v>
      </c>
      <c r="D108" s="300">
        <f t="shared" si="18"/>
        <v>1000</v>
      </c>
      <c r="E108" s="300">
        <f t="shared" si="23"/>
        <v>2000</v>
      </c>
      <c r="F108" s="305">
        <f t="shared" si="31"/>
        <v>8116</v>
      </c>
      <c r="G108" s="299">
        <f t="shared" si="31"/>
        <v>0</v>
      </c>
      <c r="H108" s="300">
        <f t="shared" si="31"/>
        <v>0</v>
      </c>
      <c r="I108" s="305">
        <f t="shared" si="31"/>
        <v>0</v>
      </c>
      <c r="J108" s="306">
        <f t="shared" si="19"/>
        <v>0</v>
      </c>
      <c r="K108" s="299"/>
      <c r="L108" s="300">
        <f t="shared" si="20"/>
        <v>-6305833.333333334</v>
      </c>
      <c r="M108" s="305">
        <f t="shared" si="26"/>
        <v>6683038.3260693997</v>
      </c>
      <c r="N108" s="307">
        <f t="shared" si="21"/>
        <v>377204.99273606576</v>
      </c>
      <c r="O108" s="299"/>
      <c r="P108" s="308">
        <f>Données!AC108</f>
        <v>5260710</v>
      </c>
      <c r="Q108" s="304">
        <f>Données!AD108</f>
        <v>-563839</v>
      </c>
      <c r="R108" s="299">
        <f t="shared" si="24"/>
        <v>4696871</v>
      </c>
      <c r="S108" s="305">
        <f t="shared" si="25"/>
        <v>-2818122.6</v>
      </c>
      <c r="T108" s="299">
        <f t="shared" si="27"/>
        <v>1124458.2216276247</v>
      </c>
      <c r="U108" s="309">
        <f t="shared" si="22"/>
        <v>-1693664.3783723754</v>
      </c>
    </row>
    <row r="109" spans="1:21" x14ac:dyDescent="0.25">
      <c r="A109" s="156">
        <f>Données!A109</f>
        <v>5584</v>
      </c>
      <c r="B109" s="157" t="str">
        <f>Données!B109</f>
        <v>Epalinges</v>
      </c>
      <c r="C109" s="304">
        <f>Données!C109</f>
        <v>9869</v>
      </c>
      <c r="D109" s="300">
        <f t="shared" si="18"/>
        <v>1000</v>
      </c>
      <c r="E109" s="300">
        <f t="shared" si="23"/>
        <v>2000</v>
      </c>
      <c r="F109" s="305">
        <f t="shared" si="31"/>
        <v>6869</v>
      </c>
      <c r="G109" s="299">
        <f t="shared" si="31"/>
        <v>0</v>
      </c>
      <c r="H109" s="300">
        <f t="shared" si="31"/>
        <v>0</v>
      </c>
      <c r="I109" s="305">
        <f t="shared" si="31"/>
        <v>0</v>
      </c>
      <c r="J109" s="306">
        <f t="shared" si="19"/>
        <v>0</v>
      </c>
      <c r="K109" s="299"/>
      <c r="L109" s="300">
        <f t="shared" si="20"/>
        <v>-5472495.672601385</v>
      </c>
      <c r="M109" s="305">
        <f t="shared" si="26"/>
        <v>5933330.8060434423</v>
      </c>
      <c r="N109" s="307">
        <f t="shared" si="21"/>
        <v>460835.1334420573</v>
      </c>
      <c r="O109" s="299"/>
      <c r="P109" s="308">
        <f>Données!AC109</f>
        <v>4801233</v>
      </c>
      <c r="Q109" s="304">
        <f>Données!AD109</f>
        <v>-663252.6</v>
      </c>
      <c r="R109" s="299">
        <f t="shared" si="24"/>
        <v>4137980.4</v>
      </c>
      <c r="S109" s="305">
        <f t="shared" si="25"/>
        <v>-2482788.2399999998</v>
      </c>
      <c r="T109" s="299">
        <f t="shared" si="27"/>
        <v>998315.77808951307</v>
      </c>
      <c r="U109" s="309">
        <f t="shared" si="22"/>
        <v>-1484472.4619104867</v>
      </c>
    </row>
    <row r="110" spans="1:21" x14ac:dyDescent="0.25">
      <c r="A110" s="156">
        <f>Données!A110</f>
        <v>5585</v>
      </c>
      <c r="B110" s="157" t="str">
        <f>Données!B110</f>
        <v>Jouxtens-Mézery</v>
      </c>
      <c r="C110" s="304">
        <f>Données!C110</f>
        <v>1455</v>
      </c>
      <c r="D110" s="300">
        <f t="shared" si="18"/>
        <v>1000</v>
      </c>
      <c r="E110" s="300">
        <f t="shared" si="23"/>
        <v>455</v>
      </c>
      <c r="F110" s="305">
        <f t="shared" si="31"/>
        <v>0</v>
      </c>
      <c r="G110" s="299">
        <f t="shared" si="31"/>
        <v>0</v>
      </c>
      <c r="H110" s="300">
        <f t="shared" si="31"/>
        <v>0</v>
      </c>
      <c r="I110" s="305">
        <f t="shared" si="31"/>
        <v>0</v>
      </c>
      <c r="J110" s="306">
        <f t="shared" si="19"/>
        <v>0</v>
      </c>
      <c r="K110" s="299"/>
      <c r="L110" s="300">
        <f t="shared" si="20"/>
        <v>-303931.0089020771</v>
      </c>
      <c r="M110" s="305">
        <f t="shared" si="26"/>
        <v>874758.97484985401</v>
      </c>
      <c r="N110" s="307">
        <f t="shared" si="21"/>
        <v>570827.96594777692</v>
      </c>
      <c r="O110" s="299"/>
      <c r="P110" s="308" t="str">
        <f>Données!AC110</f>
        <v/>
      </c>
      <c r="Q110" s="304" t="str">
        <f>Données!AD110</f>
        <v/>
      </c>
      <c r="R110" s="299">
        <f t="shared" si="24"/>
        <v>0</v>
      </c>
      <c r="S110" s="305">
        <f t="shared" si="25"/>
        <v>0</v>
      </c>
      <c r="T110" s="299">
        <f t="shared" si="27"/>
        <v>147183.04358296093</v>
      </c>
      <c r="U110" s="309">
        <f t="shared" si="22"/>
        <v>147183.04358296093</v>
      </c>
    </row>
    <row r="111" spans="1:21" x14ac:dyDescent="0.25">
      <c r="A111" s="156">
        <f>Données!A111</f>
        <v>5586</v>
      </c>
      <c r="B111" s="157" t="str">
        <f>Données!B111</f>
        <v>Lausanne</v>
      </c>
      <c r="C111" s="304">
        <f>Données!C111</f>
        <v>145707</v>
      </c>
      <c r="D111" s="300">
        <f t="shared" si="18"/>
        <v>1000</v>
      </c>
      <c r="E111" s="300">
        <f t="shared" si="23"/>
        <v>2000</v>
      </c>
      <c r="F111" s="305">
        <f t="shared" si="31"/>
        <v>9000</v>
      </c>
      <c r="G111" s="299">
        <f t="shared" si="31"/>
        <v>3000</v>
      </c>
      <c r="H111" s="300">
        <f t="shared" si="31"/>
        <v>15000</v>
      </c>
      <c r="I111" s="305">
        <f t="shared" si="31"/>
        <v>15000</v>
      </c>
      <c r="J111" s="306">
        <f t="shared" si="19"/>
        <v>100707</v>
      </c>
      <c r="K111" s="299"/>
      <c r="L111" s="300">
        <f t="shared" si="20"/>
        <v>-168418998.07121661</v>
      </c>
      <c r="M111" s="305">
        <f t="shared" si="26"/>
        <v>87600347.730891868</v>
      </c>
      <c r="N111" s="307">
        <f t="shared" si="21"/>
        <v>-80818650.340324745</v>
      </c>
      <c r="O111" s="299"/>
      <c r="P111" s="308">
        <f>Données!AC111</f>
        <v>64092282.960000001</v>
      </c>
      <c r="Q111" s="304">
        <f>Données!AD111</f>
        <v>-9131482</v>
      </c>
      <c r="R111" s="299">
        <f t="shared" si="24"/>
        <v>54960800.960000001</v>
      </c>
      <c r="S111" s="305">
        <f t="shared" si="25"/>
        <v>-32976480.575999998</v>
      </c>
      <c r="T111" s="299">
        <f t="shared" si="27"/>
        <v>14739243.801609959</v>
      </c>
      <c r="U111" s="309">
        <f t="shared" si="22"/>
        <v>-18237236.774390038</v>
      </c>
    </row>
    <row r="112" spans="1:21" x14ac:dyDescent="0.25">
      <c r="A112" s="156">
        <f>Données!A112</f>
        <v>5587</v>
      </c>
      <c r="B112" s="157" t="str">
        <f>Données!B112</f>
        <v>Le Mont-sur-Lausanne</v>
      </c>
      <c r="C112" s="304">
        <f>Données!C112</f>
        <v>9785</v>
      </c>
      <c r="D112" s="300">
        <f t="shared" si="18"/>
        <v>1000</v>
      </c>
      <c r="E112" s="300">
        <f t="shared" si="23"/>
        <v>2000</v>
      </c>
      <c r="F112" s="305">
        <f t="shared" si="31"/>
        <v>6785</v>
      </c>
      <c r="G112" s="299">
        <f t="shared" si="31"/>
        <v>0</v>
      </c>
      <c r="H112" s="300">
        <f t="shared" si="31"/>
        <v>0</v>
      </c>
      <c r="I112" s="305">
        <f t="shared" si="31"/>
        <v>0</v>
      </c>
      <c r="J112" s="306">
        <f t="shared" si="19"/>
        <v>0</v>
      </c>
      <c r="K112" s="299"/>
      <c r="L112" s="300">
        <f t="shared" si="20"/>
        <v>-5416360.6577645903</v>
      </c>
      <c r="M112" s="305">
        <f t="shared" si="26"/>
        <v>5882829.256979946</v>
      </c>
      <c r="N112" s="307">
        <f t="shared" si="21"/>
        <v>466468.5992153557</v>
      </c>
      <c r="O112" s="299"/>
      <c r="P112" s="308">
        <f>Données!AC112</f>
        <v>3083742.96</v>
      </c>
      <c r="Q112" s="304">
        <f>Données!AD112</f>
        <v>-551035</v>
      </c>
      <c r="R112" s="299">
        <f t="shared" si="24"/>
        <v>2532707.96</v>
      </c>
      <c r="S112" s="305">
        <f t="shared" si="25"/>
        <v>-1519624.7759999998</v>
      </c>
      <c r="T112" s="299">
        <f t="shared" si="27"/>
        <v>989818.61268678552</v>
      </c>
      <c r="U112" s="309">
        <f t="shared" si="22"/>
        <v>-529806.16331321432</v>
      </c>
    </row>
    <row r="113" spans="1:21" x14ac:dyDescent="0.25">
      <c r="A113" s="156">
        <f>Données!A113</f>
        <v>5588</v>
      </c>
      <c r="B113" s="157" t="str">
        <f>Données!B113</f>
        <v>Paudex</v>
      </c>
      <c r="C113" s="304">
        <f>Données!C113</f>
        <v>1483</v>
      </c>
      <c r="D113" s="300">
        <f t="shared" si="18"/>
        <v>1000</v>
      </c>
      <c r="E113" s="300">
        <f t="shared" si="23"/>
        <v>483</v>
      </c>
      <c r="F113" s="305">
        <f t="shared" si="31"/>
        <v>0</v>
      </c>
      <c r="G113" s="299">
        <f t="shared" si="31"/>
        <v>0</v>
      </c>
      <c r="H113" s="300">
        <f t="shared" si="31"/>
        <v>0</v>
      </c>
      <c r="I113" s="305">
        <f t="shared" si="31"/>
        <v>0</v>
      </c>
      <c r="J113" s="306">
        <f t="shared" si="19"/>
        <v>0</v>
      </c>
      <c r="K113" s="299"/>
      <c r="L113" s="300">
        <f t="shared" si="20"/>
        <v>-314409.5450049456</v>
      </c>
      <c r="M113" s="305">
        <f t="shared" si="26"/>
        <v>891592.82453768619</v>
      </c>
      <c r="N113" s="307">
        <f t="shared" si="21"/>
        <v>577183.27953274059</v>
      </c>
      <c r="O113" s="299"/>
      <c r="P113" s="308">
        <f>Données!AC113</f>
        <v>546318.96</v>
      </c>
      <c r="Q113" s="304">
        <f>Données!AD113</f>
        <v>-87554</v>
      </c>
      <c r="R113" s="299">
        <f t="shared" si="24"/>
        <v>458764.95999999996</v>
      </c>
      <c r="S113" s="305">
        <f t="shared" si="25"/>
        <v>-275258.97599999997</v>
      </c>
      <c r="T113" s="299">
        <f t="shared" si="27"/>
        <v>150015.43205053682</v>
      </c>
      <c r="U113" s="309">
        <f t="shared" si="22"/>
        <v>-125243.54394946314</v>
      </c>
    </row>
    <row r="114" spans="1:21" x14ac:dyDescent="0.25">
      <c r="A114" s="156">
        <f>Données!A114</f>
        <v>5589</v>
      </c>
      <c r="B114" s="157" t="str">
        <f>Données!B114</f>
        <v>Prilly</v>
      </c>
      <c r="C114" s="304">
        <f>Données!C114</f>
        <v>13069</v>
      </c>
      <c r="D114" s="300">
        <f t="shared" si="18"/>
        <v>1000</v>
      </c>
      <c r="E114" s="300">
        <f t="shared" si="23"/>
        <v>2000</v>
      </c>
      <c r="F114" s="305">
        <f t="shared" si="31"/>
        <v>9000</v>
      </c>
      <c r="G114" s="299">
        <f t="shared" si="31"/>
        <v>1069</v>
      </c>
      <c r="H114" s="300">
        <f t="shared" si="31"/>
        <v>0</v>
      </c>
      <c r="I114" s="305">
        <f t="shared" si="31"/>
        <v>0</v>
      </c>
      <c r="J114" s="306">
        <f t="shared" si="19"/>
        <v>0</v>
      </c>
      <c r="K114" s="299"/>
      <c r="L114" s="300">
        <f t="shared" si="20"/>
        <v>-8039603.3630069252</v>
      </c>
      <c r="M114" s="305">
        <f t="shared" si="26"/>
        <v>7857199.3417956987</v>
      </c>
      <c r="N114" s="307">
        <f t="shared" si="21"/>
        <v>-182404.02121122647</v>
      </c>
      <c r="O114" s="299"/>
      <c r="P114" s="308">
        <f>Données!AC114</f>
        <v>4163331</v>
      </c>
      <c r="Q114" s="304">
        <f>Données!AD114</f>
        <v>-499716</v>
      </c>
      <c r="R114" s="299">
        <f t="shared" si="24"/>
        <v>3663615</v>
      </c>
      <c r="S114" s="305">
        <f t="shared" si="25"/>
        <v>-2198169</v>
      </c>
      <c r="T114" s="299">
        <f t="shared" si="27"/>
        <v>1322017.3172410424</v>
      </c>
      <c r="U114" s="309">
        <f t="shared" si="22"/>
        <v>-876151.68275895761</v>
      </c>
    </row>
    <row r="115" spans="1:21" x14ac:dyDescent="0.25">
      <c r="A115" s="156">
        <f>Données!A115</f>
        <v>5590</v>
      </c>
      <c r="B115" s="157" t="str">
        <f>Données!B115</f>
        <v>Pully</v>
      </c>
      <c r="C115" s="304">
        <f>Données!C115</f>
        <v>19550</v>
      </c>
      <c r="D115" s="300">
        <f t="shared" si="18"/>
        <v>1000</v>
      </c>
      <c r="E115" s="300">
        <f t="shared" si="23"/>
        <v>2000</v>
      </c>
      <c r="F115" s="305">
        <f t="shared" si="31"/>
        <v>9000</v>
      </c>
      <c r="G115" s="299">
        <f t="shared" si="31"/>
        <v>3000</v>
      </c>
      <c r="H115" s="300">
        <f t="shared" si="31"/>
        <v>4550</v>
      </c>
      <c r="I115" s="305">
        <f t="shared" si="31"/>
        <v>0</v>
      </c>
      <c r="J115" s="306">
        <f t="shared" si="19"/>
        <v>0</v>
      </c>
      <c r="K115" s="299"/>
      <c r="L115" s="300">
        <f t="shared" si="20"/>
        <v>-15212589.020771515</v>
      </c>
      <c r="M115" s="305">
        <f t="shared" si="26"/>
        <v>11753634.33561144</v>
      </c>
      <c r="N115" s="307">
        <f t="shared" si="21"/>
        <v>-3458954.6851600744</v>
      </c>
      <c r="O115" s="299"/>
      <c r="P115" s="308">
        <f>Données!AC115</f>
        <v>9951231</v>
      </c>
      <c r="Q115" s="304">
        <f>Données!AD115</f>
        <v>-1394588.01</v>
      </c>
      <c r="R115" s="299">
        <f t="shared" si="24"/>
        <v>8556642.9900000002</v>
      </c>
      <c r="S115" s="305">
        <f t="shared" si="25"/>
        <v>-5133985.7939999998</v>
      </c>
      <c r="T115" s="299">
        <f t="shared" si="27"/>
        <v>1977614.0907538738</v>
      </c>
      <c r="U115" s="309">
        <f t="shared" si="22"/>
        <v>-3156371.703246126</v>
      </c>
    </row>
    <row r="116" spans="1:21" x14ac:dyDescent="0.25">
      <c r="A116" s="156">
        <f>Données!A116</f>
        <v>5591</v>
      </c>
      <c r="B116" s="157" t="str">
        <f>Données!B116</f>
        <v>Renens</v>
      </c>
      <c r="C116" s="304">
        <f>Données!C116</f>
        <v>21827</v>
      </c>
      <c r="D116" s="300">
        <f t="shared" si="18"/>
        <v>1000</v>
      </c>
      <c r="E116" s="300">
        <f t="shared" si="23"/>
        <v>2000</v>
      </c>
      <c r="F116" s="305">
        <f t="shared" si="31"/>
        <v>9000</v>
      </c>
      <c r="G116" s="299">
        <f t="shared" si="31"/>
        <v>3000</v>
      </c>
      <c r="H116" s="300">
        <f t="shared" si="31"/>
        <v>6827</v>
      </c>
      <c r="I116" s="305">
        <f t="shared" si="31"/>
        <v>0</v>
      </c>
      <c r="J116" s="306">
        <f t="shared" si="19"/>
        <v>0</v>
      </c>
      <c r="K116" s="299"/>
      <c r="L116" s="300">
        <f t="shared" si="20"/>
        <v>-17768977.596439172</v>
      </c>
      <c r="M116" s="305">
        <f t="shared" si="26"/>
        <v>13122587.040582655</v>
      </c>
      <c r="N116" s="307">
        <f t="shared" si="21"/>
        <v>-4646390.5558565166</v>
      </c>
      <c r="O116" s="299"/>
      <c r="P116" s="308">
        <f>Données!AC116</f>
        <v>10294680.960000001</v>
      </c>
      <c r="Q116" s="304">
        <f>Données!AD116</f>
        <v>-1101299</v>
      </c>
      <c r="R116" s="299">
        <f t="shared" si="24"/>
        <v>9193381.9600000009</v>
      </c>
      <c r="S116" s="305">
        <f t="shared" si="25"/>
        <v>-5516029.176</v>
      </c>
      <c r="T116" s="299">
        <f t="shared" si="27"/>
        <v>2207947.9672063841</v>
      </c>
      <c r="U116" s="309">
        <f t="shared" si="22"/>
        <v>-3308081.2087936159</v>
      </c>
    </row>
    <row r="117" spans="1:21" x14ac:dyDescent="0.25">
      <c r="A117" s="156">
        <f>Données!A117</f>
        <v>5592</v>
      </c>
      <c r="B117" s="157" t="str">
        <f>Données!B117</f>
        <v>Romanel-sur-Lausanne</v>
      </c>
      <c r="C117" s="304">
        <f>Données!C117</f>
        <v>4331</v>
      </c>
      <c r="D117" s="300">
        <f t="shared" si="18"/>
        <v>1000</v>
      </c>
      <c r="E117" s="300">
        <f t="shared" si="23"/>
        <v>2000</v>
      </c>
      <c r="F117" s="305">
        <f t="shared" ref="F117:I126" si="32">IF($C117&lt;F$4,0,IF($C117&gt;F$5,F$5-F$4,$C117-F$4))</f>
        <v>1331</v>
      </c>
      <c r="G117" s="299">
        <f t="shared" si="32"/>
        <v>0</v>
      </c>
      <c r="H117" s="300">
        <f t="shared" si="32"/>
        <v>0</v>
      </c>
      <c r="I117" s="305">
        <f t="shared" si="32"/>
        <v>0</v>
      </c>
      <c r="J117" s="306">
        <f t="shared" si="19"/>
        <v>0</v>
      </c>
      <c r="K117" s="299"/>
      <c r="L117" s="300">
        <f t="shared" si="20"/>
        <v>-1771594.337289812</v>
      </c>
      <c r="M117" s="305">
        <f t="shared" si="26"/>
        <v>2603835.8213571943</v>
      </c>
      <c r="N117" s="307">
        <f t="shared" si="21"/>
        <v>832241.48406738229</v>
      </c>
      <c r="O117" s="299"/>
      <c r="P117" s="308" t="str">
        <f>Données!AC117</f>
        <v/>
      </c>
      <c r="Q117" s="304" t="str">
        <f>Données!AD117</f>
        <v/>
      </c>
      <c r="R117" s="299">
        <f t="shared" si="24"/>
        <v>0</v>
      </c>
      <c r="S117" s="305">
        <f t="shared" si="25"/>
        <v>0</v>
      </c>
      <c r="T117" s="299">
        <f t="shared" si="27"/>
        <v>438109.80189539783</v>
      </c>
      <c r="U117" s="309">
        <f t="shared" si="22"/>
        <v>438109.80189539783</v>
      </c>
    </row>
    <row r="118" spans="1:21" x14ac:dyDescent="0.25">
      <c r="A118" s="156">
        <f>Données!A118</f>
        <v>5601</v>
      </c>
      <c r="B118" s="157" t="str">
        <f>Données!B118</f>
        <v>Chexbres</v>
      </c>
      <c r="C118" s="304">
        <f>Données!C118</f>
        <v>2272</v>
      </c>
      <c r="D118" s="300">
        <f t="shared" si="18"/>
        <v>1000</v>
      </c>
      <c r="E118" s="300">
        <f t="shared" si="23"/>
        <v>1272</v>
      </c>
      <c r="F118" s="305">
        <f t="shared" si="32"/>
        <v>0</v>
      </c>
      <c r="G118" s="299">
        <f t="shared" si="32"/>
        <v>0</v>
      </c>
      <c r="H118" s="300">
        <f t="shared" si="32"/>
        <v>0</v>
      </c>
      <c r="I118" s="305">
        <f t="shared" si="32"/>
        <v>0</v>
      </c>
      <c r="J118" s="306">
        <f t="shared" si="19"/>
        <v>0</v>
      </c>
      <c r="K118" s="299"/>
      <c r="L118" s="300">
        <f t="shared" si="20"/>
        <v>-609679.72304648859</v>
      </c>
      <c r="M118" s="305">
        <f t="shared" si="26"/>
        <v>1365946.6603841018</v>
      </c>
      <c r="N118" s="307">
        <f t="shared" si="21"/>
        <v>756266.9373376132</v>
      </c>
      <c r="O118" s="299"/>
      <c r="P118" s="308" t="str">
        <f>Données!AC118</f>
        <v/>
      </c>
      <c r="Q118" s="304" t="str">
        <f>Données!AD118</f>
        <v/>
      </c>
      <c r="R118" s="299">
        <f t="shared" si="24"/>
        <v>0</v>
      </c>
      <c r="S118" s="305">
        <f t="shared" si="25"/>
        <v>0</v>
      </c>
      <c r="T118" s="299">
        <f t="shared" si="27"/>
        <v>229828.09279758576</v>
      </c>
      <c r="U118" s="309">
        <f t="shared" si="22"/>
        <v>229828.09279758576</v>
      </c>
    </row>
    <row r="119" spans="1:21" x14ac:dyDescent="0.25">
      <c r="A119" s="156">
        <f>Données!A119</f>
        <v>5604</v>
      </c>
      <c r="B119" s="157" t="str">
        <f>Données!B119</f>
        <v>Forel (Lavaux)</v>
      </c>
      <c r="C119" s="304">
        <f>Données!C119</f>
        <v>2113</v>
      </c>
      <c r="D119" s="300">
        <f t="shared" si="18"/>
        <v>1000</v>
      </c>
      <c r="E119" s="300">
        <f t="shared" si="23"/>
        <v>1113</v>
      </c>
      <c r="F119" s="305">
        <f t="shared" si="32"/>
        <v>0</v>
      </c>
      <c r="G119" s="299">
        <f t="shared" si="32"/>
        <v>0</v>
      </c>
      <c r="H119" s="300">
        <f t="shared" si="32"/>
        <v>0</v>
      </c>
      <c r="I119" s="305">
        <f t="shared" si="32"/>
        <v>0</v>
      </c>
      <c r="J119" s="306">
        <f t="shared" si="19"/>
        <v>0</v>
      </c>
      <c r="K119" s="299"/>
      <c r="L119" s="300">
        <f t="shared" si="20"/>
        <v>-550176.60731948563</v>
      </c>
      <c r="M119" s="305">
        <f t="shared" si="26"/>
        <v>1270354.4425139115</v>
      </c>
      <c r="N119" s="307">
        <f t="shared" si="21"/>
        <v>720177.83519442589</v>
      </c>
      <c r="O119" s="299"/>
      <c r="P119" s="308" t="str">
        <f>Données!AC119</f>
        <v/>
      </c>
      <c r="Q119" s="304" t="str">
        <f>Données!AD119</f>
        <v/>
      </c>
      <c r="R119" s="299">
        <f t="shared" si="24"/>
        <v>0</v>
      </c>
      <c r="S119" s="305">
        <f t="shared" si="25"/>
        <v>0</v>
      </c>
      <c r="T119" s="299">
        <f t="shared" si="27"/>
        <v>213744.17257099415</v>
      </c>
      <c r="U119" s="309">
        <f t="shared" si="22"/>
        <v>213744.17257099415</v>
      </c>
    </row>
    <row r="120" spans="1:21" x14ac:dyDescent="0.25">
      <c r="A120" s="156">
        <f>Données!A120</f>
        <v>5606</v>
      </c>
      <c r="B120" s="157" t="str">
        <f>Données!B120</f>
        <v>Lutry</v>
      </c>
      <c r="C120" s="304">
        <f>Données!C120</f>
        <v>10843</v>
      </c>
      <c r="D120" s="300">
        <f t="shared" si="18"/>
        <v>1000</v>
      </c>
      <c r="E120" s="300">
        <f t="shared" si="23"/>
        <v>2000</v>
      </c>
      <c r="F120" s="305">
        <f t="shared" si="32"/>
        <v>7843</v>
      </c>
      <c r="G120" s="299">
        <f t="shared" si="32"/>
        <v>0</v>
      </c>
      <c r="H120" s="300">
        <f t="shared" si="32"/>
        <v>0</v>
      </c>
      <c r="I120" s="305">
        <f t="shared" si="32"/>
        <v>0</v>
      </c>
      <c r="J120" s="306">
        <f t="shared" si="19"/>
        <v>0</v>
      </c>
      <c r="K120" s="299"/>
      <c r="L120" s="300">
        <f t="shared" si="20"/>
        <v>-6123394.5351137491</v>
      </c>
      <c r="M120" s="305">
        <f t="shared" si="26"/>
        <v>6518908.2916130358</v>
      </c>
      <c r="N120" s="307">
        <f t="shared" si="21"/>
        <v>395513.75649928674</v>
      </c>
      <c r="O120" s="299"/>
      <c r="P120" s="308">
        <f>Données!AC120</f>
        <v>4719732.96</v>
      </c>
      <c r="Q120" s="304">
        <f>Données!AD120</f>
        <v>-616138</v>
      </c>
      <c r="R120" s="299">
        <f t="shared" si="24"/>
        <v>4103594.96</v>
      </c>
      <c r="S120" s="305">
        <f t="shared" si="25"/>
        <v>-2462156.9759999998</v>
      </c>
      <c r="T120" s="299">
        <f t="shared" si="27"/>
        <v>1096842.4340687599</v>
      </c>
      <c r="U120" s="309">
        <f t="shared" si="22"/>
        <v>-1365314.5419312399</v>
      </c>
    </row>
    <row r="121" spans="1:21" x14ac:dyDescent="0.25">
      <c r="A121" s="156">
        <f>Données!A121</f>
        <v>5607</v>
      </c>
      <c r="B121" s="157" t="str">
        <f>Données!B121</f>
        <v>Puidoux</v>
      </c>
      <c r="C121" s="304">
        <f>Données!C121</f>
        <v>3014</v>
      </c>
      <c r="D121" s="300">
        <f t="shared" si="18"/>
        <v>1000</v>
      </c>
      <c r="E121" s="300">
        <f t="shared" si="23"/>
        <v>2000</v>
      </c>
      <c r="F121" s="305">
        <f t="shared" si="32"/>
        <v>14</v>
      </c>
      <c r="G121" s="299">
        <f t="shared" si="32"/>
        <v>0</v>
      </c>
      <c r="H121" s="300">
        <f t="shared" si="32"/>
        <v>0</v>
      </c>
      <c r="I121" s="305">
        <f t="shared" si="32"/>
        <v>0</v>
      </c>
      <c r="J121" s="306">
        <f t="shared" si="19"/>
        <v>0</v>
      </c>
      <c r="K121" s="299"/>
      <c r="L121" s="300">
        <f t="shared" si="20"/>
        <v>-891477.49752720073</v>
      </c>
      <c r="M121" s="305">
        <f t="shared" si="26"/>
        <v>1812043.6771116562</v>
      </c>
      <c r="N121" s="307">
        <f t="shared" si="21"/>
        <v>920566.17958445544</v>
      </c>
      <c r="O121" s="299"/>
      <c r="P121" s="308" t="str">
        <f>Données!AC121</f>
        <v/>
      </c>
      <c r="Q121" s="304" t="str">
        <f>Données!AD121</f>
        <v/>
      </c>
      <c r="R121" s="299">
        <f t="shared" si="24"/>
        <v>0</v>
      </c>
      <c r="S121" s="305">
        <f t="shared" si="25"/>
        <v>0</v>
      </c>
      <c r="T121" s="299">
        <f t="shared" si="27"/>
        <v>304886.38718834659</v>
      </c>
      <c r="U121" s="309">
        <f t="shared" si="22"/>
        <v>304886.38718834659</v>
      </c>
    </row>
    <row r="122" spans="1:21" x14ac:dyDescent="0.25">
      <c r="A122" s="156">
        <f>Données!A122</f>
        <v>5609</v>
      </c>
      <c r="B122" s="157" t="str">
        <f>Données!B122</f>
        <v>Rivaz</v>
      </c>
      <c r="C122" s="304">
        <f>Données!C122</f>
        <v>330</v>
      </c>
      <c r="D122" s="300">
        <f t="shared" si="18"/>
        <v>330</v>
      </c>
      <c r="E122" s="300">
        <f t="shared" si="23"/>
        <v>0</v>
      </c>
      <c r="F122" s="305">
        <f t="shared" si="32"/>
        <v>0</v>
      </c>
      <c r="G122" s="299">
        <f t="shared" si="32"/>
        <v>0</v>
      </c>
      <c r="H122" s="300">
        <f t="shared" si="32"/>
        <v>0</v>
      </c>
      <c r="I122" s="305">
        <f t="shared" si="32"/>
        <v>0</v>
      </c>
      <c r="J122" s="306">
        <f t="shared" si="19"/>
        <v>0</v>
      </c>
      <c r="K122" s="299"/>
      <c r="L122" s="300">
        <f t="shared" si="20"/>
        <v>-44106.083086053412</v>
      </c>
      <c r="M122" s="305">
        <f t="shared" si="26"/>
        <v>198398.94274945141</v>
      </c>
      <c r="N122" s="307">
        <f t="shared" si="21"/>
        <v>154292.85966339801</v>
      </c>
      <c r="O122" s="299"/>
      <c r="P122" s="308" t="str">
        <f>Données!AC122</f>
        <v/>
      </c>
      <c r="Q122" s="304" t="str">
        <f>Données!AD122</f>
        <v/>
      </c>
      <c r="R122" s="299">
        <f t="shared" si="24"/>
        <v>0</v>
      </c>
      <c r="S122" s="305">
        <f t="shared" si="25"/>
        <v>0</v>
      </c>
      <c r="T122" s="299">
        <f t="shared" si="27"/>
        <v>33381.721225001449</v>
      </c>
      <c r="U122" s="309">
        <f t="shared" si="22"/>
        <v>33381.721225001449</v>
      </c>
    </row>
    <row r="123" spans="1:21" x14ac:dyDescent="0.25">
      <c r="A123" s="156">
        <f>Données!A123</f>
        <v>5610</v>
      </c>
      <c r="B123" s="157" t="str">
        <f>Données!B123</f>
        <v>St-Saphorin (Lavaux)</v>
      </c>
      <c r="C123" s="304">
        <f>Données!C123</f>
        <v>393</v>
      </c>
      <c r="D123" s="300">
        <f t="shared" si="18"/>
        <v>393</v>
      </c>
      <c r="E123" s="300">
        <f t="shared" si="23"/>
        <v>0</v>
      </c>
      <c r="F123" s="305">
        <f t="shared" si="32"/>
        <v>0</v>
      </c>
      <c r="G123" s="299">
        <f t="shared" si="32"/>
        <v>0</v>
      </c>
      <c r="H123" s="300">
        <f t="shared" si="32"/>
        <v>0</v>
      </c>
      <c r="I123" s="305">
        <f t="shared" si="32"/>
        <v>0</v>
      </c>
      <c r="J123" s="306">
        <f t="shared" si="19"/>
        <v>0</v>
      </c>
      <c r="K123" s="299"/>
      <c r="L123" s="300">
        <f t="shared" si="20"/>
        <v>-52526.3353115727</v>
      </c>
      <c r="M123" s="305">
        <f t="shared" si="26"/>
        <v>236275.10454707395</v>
      </c>
      <c r="N123" s="307">
        <f t="shared" si="21"/>
        <v>183748.76923550124</v>
      </c>
      <c r="O123" s="299"/>
      <c r="P123" s="308" t="str">
        <f>Données!AC123</f>
        <v/>
      </c>
      <c r="Q123" s="304" t="str">
        <f>Données!AD123</f>
        <v/>
      </c>
      <c r="R123" s="299">
        <f t="shared" si="24"/>
        <v>0</v>
      </c>
      <c r="S123" s="305">
        <f t="shared" si="25"/>
        <v>0</v>
      </c>
      <c r="T123" s="299">
        <f t="shared" si="27"/>
        <v>39754.595277047185</v>
      </c>
      <c r="U123" s="309">
        <f t="shared" si="22"/>
        <v>39754.595277047185</v>
      </c>
    </row>
    <row r="124" spans="1:21" x14ac:dyDescent="0.25">
      <c r="A124" s="156">
        <f>Données!A124</f>
        <v>5611</v>
      </c>
      <c r="B124" s="157" t="str">
        <f>Données!B124</f>
        <v>Savigny</v>
      </c>
      <c r="C124" s="304">
        <f>Données!C124</f>
        <v>3598</v>
      </c>
      <c r="D124" s="300">
        <f t="shared" si="18"/>
        <v>1000</v>
      </c>
      <c r="E124" s="300">
        <f t="shared" si="23"/>
        <v>2000</v>
      </c>
      <c r="F124" s="305">
        <f t="shared" si="32"/>
        <v>598</v>
      </c>
      <c r="G124" s="299">
        <f t="shared" si="32"/>
        <v>0</v>
      </c>
      <c r="H124" s="300">
        <f t="shared" si="32"/>
        <v>0</v>
      </c>
      <c r="I124" s="305">
        <f t="shared" si="32"/>
        <v>0</v>
      </c>
      <c r="J124" s="306">
        <f t="shared" si="19"/>
        <v>0</v>
      </c>
      <c r="K124" s="299"/>
      <c r="L124" s="300">
        <f t="shared" si="20"/>
        <v>-1281749.5054401583</v>
      </c>
      <c r="M124" s="305">
        <f t="shared" si="26"/>
        <v>2163149.684886443</v>
      </c>
      <c r="N124" s="307">
        <f t="shared" si="21"/>
        <v>881400.17944628466</v>
      </c>
      <c r="O124" s="299"/>
      <c r="P124" s="308" t="str">
        <f>Données!AC124</f>
        <v/>
      </c>
      <c r="Q124" s="304" t="str">
        <f>Données!AD124</f>
        <v/>
      </c>
      <c r="R124" s="299">
        <f t="shared" si="24"/>
        <v>0</v>
      </c>
      <c r="S124" s="305">
        <f t="shared" si="25"/>
        <v>0</v>
      </c>
      <c r="T124" s="299">
        <f t="shared" si="27"/>
        <v>363961.9180835007</v>
      </c>
      <c r="U124" s="309">
        <f t="shared" si="22"/>
        <v>363961.9180835007</v>
      </c>
    </row>
    <row r="125" spans="1:21" x14ac:dyDescent="0.25">
      <c r="A125" s="156">
        <f>Données!A125</f>
        <v>5613</v>
      </c>
      <c r="B125" s="157" t="str">
        <f>Données!B125</f>
        <v>Bourg-en-Lavaux</v>
      </c>
      <c r="C125" s="304">
        <f>Données!C125</f>
        <v>5558</v>
      </c>
      <c r="D125" s="300">
        <f t="shared" si="18"/>
        <v>1000</v>
      </c>
      <c r="E125" s="300">
        <f t="shared" si="23"/>
        <v>2000</v>
      </c>
      <c r="F125" s="305">
        <f t="shared" si="32"/>
        <v>2558</v>
      </c>
      <c r="G125" s="299">
        <f t="shared" si="32"/>
        <v>0</v>
      </c>
      <c r="H125" s="300">
        <f t="shared" si="32"/>
        <v>0</v>
      </c>
      <c r="I125" s="305">
        <f t="shared" si="32"/>
        <v>0</v>
      </c>
      <c r="J125" s="306">
        <f t="shared" si="19"/>
        <v>0</v>
      </c>
      <c r="K125" s="299"/>
      <c r="L125" s="300">
        <f t="shared" si="20"/>
        <v>-2591566.5182987144</v>
      </c>
      <c r="M125" s="305">
        <f t="shared" si="26"/>
        <v>3341519.1630346999</v>
      </c>
      <c r="N125" s="307">
        <f t="shared" si="21"/>
        <v>749952.64473598544</v>
      </c>
      <c r="O125" s="299"/>
      <c r="P125" s="308" t="str">
        <f>Données!AC125</f>
        <v/>
      </c>
      <c r="Q125" s="304" t="str">
        <f>Données!AD125</f>
        <v/>
      </c>
      <c r="R125" s="299">
        <f t="shared" si="24"/>
        <v>0</v>
      </c>
      <c r="S125" s="305">
        <f t="shared" si="25"/>
        <v>0</v>
      </c>
      <c r="T125" s="299">
        <f t="shared" si="27"/>
        <v>562229.11081381235</v>
      </c>
      <c r="U125" s="309">
        <f t="shared" si="22"/>
        <v>562229.11081381235</v>
      </c>
    </row>
    <row r="126" spans="1:21" x14ac:dyDescent="0.25">
      <c r="A126" s="156">
        <f>Données!A126</f>
        <v>5621</v>
      </c>
      <c r="B126" s="157" t="str">
        <f>Données!B126</f>
        <v>Aclens</v>
      </c>
      <c r="C126" s="304">
        <f>Données!C126</f>
        <v>609</v>
      </c>
      <c r="D126" s="300">
        <f t="shared" si="18"/>
        <v>609</v>
      </c>
      <c r="E126" s="300">
        <f t="shared" si="23"/>
        <v>0</v>
      </c>
      <c r="F126" s="305">
        <f t="shared" si="32"/>
        <v>0</v>
      </c>
      <c r="G126" s="299">
        <f t="shared" si="32"/>
        <v>0</v>
      </c>
      <c r="H126" s="300">
        <f t="shared" si="32"/>
        <v>0</v>
      </c>
      <c r="I126" s="305">
        <f t="shared" si="32"/>
        <v>0</v>
      </c>
      <c r="J126" s="306">
        <f t="shared" si="19"/>
        <v>0</v>
      </c>
      <c r="K126" s="299"/>
      <c r="L126" s="300">
        <f t="shared" si="20"/>
        <v>-81395.771513353116</v>
      </c>
      <c r="M126" s="305">
        <f t="shared" si="26"/>
        <v>366136.23071035126</v>
      </c>
      <c r="N126" s="307">
        <f t="shared" si="21"/>
        <v>284740.45919699816</v>
      </c>
      <c r="O126" s="299"/>
      <c r="P126" s="308" t="str">
        <f>Données!AC126</f>
        <v/>
      </c>
      <c r="Q126" s="304" t="str">
        <f>Données!AD126</f>
        <v/>
      </c>
      <c r="R126" s="299">
        <f t="shared" si="24"/>
        <v>0</v>
      </c>
      <c r="S126" s="305">
        <f t="shared" si="25"/>
        <v>0</v>
      </c>
      <c r="T126" s="299">
        <f t="shared" si="27"/>
        <v>61604.449169775406</v>
      </c>
      <c r="U126" s="309">
        <f t="shared" si="22"/>
        <v>61604.449169775406</v>
      </c>
    </row>
    <row r="127" spans="1:21" x14ac:dyDescent="0.25">
      <c r="A127" s="156">
        <f>Données!A127</f>
        <v>5622</v>
      </c>
      <c r="B127" s="157" t="str">
        <f>Données!B127</f>
        <v>Bremblens</v>
      </c>
      <c r="C127" s="304">
        <f>Données!C127</f>
        <v>596</v>
      </c>
      <c r="D127" s="300">
        <f t="shared" si="18"/>
        <v>596</v>
      </c>
      <c r="E127" s="300">
        <f t="shared" si="23"/>
        <v>0</v>
      </c>
      <c r="F127" s="305">
        <f t="shared" ref="F127:I136" si="33">IF($C127&lt;F$4,0,IF($C127&gt;F$5,F$5-F$4,$C127-F$4))</f>
        <v>0</v>
      </c>
      <c r="G127" s="299">
        <f t="shared" si="33"/>
        <v>0</v>
      </c>
      <c r="H127" s="300">
        <f t="shared" si="33"/>
        <v>0</v>
      </c>
      <c r="I127" s="305">
        <f t="shared" si="33"/>
        <v>0</v>
      </c>
      <c r="J127" s="306">
        <f t="shared" si="19"/>
        <v>0</v>
      </c>
      <c r="K127" s="299"/>
      <c r="L127" s="300">
        <f t="shared" si="20"/>
        <v>-79658.259149357065</v>
      </c>
      <c r="M127" s="305">
        <f t="shared" si="26"/>
        <v>358320.51478385768</v>
      </c>
      <c r="N127" s="307">
        <f t="shared" si="21"/>
        <v>278662.25563450065</v>
      </c>
      <c r="O127" s="299"/>
      <c r="P127" s="308" t="str">
        <f>Données!AC127</f>
        <v/>
      </c>
      <c r="Q127" s="304" t="str">
        <f>Données!AD127</f>
        <v/>
      </c>
      <c r="R127" s="299">
        <f t="shared" si="24"/>
        <v>0</v>
      </c>
      <c r="S127" s="305">
        <f t="shared" si="25"/>
        <v>0</v>
      </c>
      <c r="T127" s="299">
        <f t="shared" si="27"/>
        <v>60289.411666972323</v>
      </c>
      <c r="U127" s="309">
        <f t="shared" si="22"/>
        <v>60289.411666972323</v>
      </c>
    </row>
    <row r="128" spans="1:21" x14ac:dyDescent="0.25">
      <c r="A128" s="156">
        <f>Données!A128</f>
        <v>5623</v>
      </c>
      <c r="B128" s="157" t="str">
        <f>Données!B128</f>
        <v>Buchillon</v>
      </c>
      <c r="C128" s="304">
        <f>Données!C128</f>
        <v>682</v>
      </c>
      <c r="D128" s="300">
        <f t="shared" si="18"/>
        <v>682</v>
      </c>
      <c r="E128" s="300">
        <f t="shared" si="23"/>
        <v>0</v>
      </c>
      <c r="F128" s="305">
        <f t="shared" si="33"/>
        <v>0</v>
      </c>
      <c r="G128" s="299">
        <f t="shared" si="33"/>
        <v>0</v>
      </c>
      <c r="H128" s="300">
        <f t="shared" si="33"/>
        <v>0</v>
      </c>
      <c r="I128" s="305">
        <f t="shared" si="33"/>
        <v>0</v>
      </c>
      <c r="J128" s="306">
        <f t="shared" si="19"/>
        <v>0</v>
      </c>
      <c r="K128" s="299"/>
      <c r="L128" s="300">
        <f t="shared" si="20"/>
        <v>-91152.57171117705</v>
      </c>
      <c r="M128" s="305">
        <f t="shared" si="26"/>
        <v>410024.48168219958</v>
      </c>
      <c r="N128" s="307">
        <f t="shared" si="21"/>
        <v>318871.90997102251</v>
      </c>
      <c r="O128" s="299"/>
      <c r="P128" s="308" t="str">
        <f>Données!AC128</f>
        <v/>
      </c>
      <c r="Q128" s="304" t="str">
        <f>Données!AD128</f>
        <v/>
      </c>
      <c r="R128" s="299">
        <f t="shared" si="24"/>
        <v>0</v>
      </c>
      <c r="S128" s="305">
        <f t="shared" si="25"/>
        <v>0</v>
      </c>
      <c r="T128" s="299">
        <f t="shared" si="27"/>
        <v>68988.890531669662</v>
      </c>
      <c r="U128" s="309">
        <f t="shared" si="22"/>
        <v>68988.890531669662</v>
      </c>
    </row>
    <row r="129" spans="1:21" x14ac:dyDescent="0.25">
      <c r="A129" s="156">
        <f>Données!A129</f>
        <v>5624</v>
      </c>
      <c r="B129" s="157" t="str">
        <f>Données!B129</f>
        <v>Bussigny</v>
      </c>
      <c r="C129" s="304">
        <f>Données!C129</f>
        <v>12138</v>
      </c>
      <c r="D129" s="300">
        <f t="shared" si="18"/>
        <v>1000</v>
      </c>
      <c r="E129" s="300">
        <f t="shared" si="23"/>
        <v>2000</v>
      </c>
      <c r="F129" s="305">
        <f t="shared" si="33"/>
        <v>9000</v>
      </c>
      <c r="G129" s="299">
        <f t="shared" si="33"/>
        <v>138</v>
      </c>
      <c r="H129" s="300">
        <f t="shared" si="33"/>
        <v>0</v>
      </c>
      <c r="I129" s="305">
        <f t="shared" si="33"/>
        <v>0</v>
      </c>
      <c r="J129" s="306">
        <f t="shared" si="19"/>
        <v>0</v>
      </c>
      <c r="K129" s="299"/>
      <c r="L129" s="300">
        <f t="shared" si="20"/>
        <v>-7044142.4332344225</v>
      </c>
      <c r="M129" s="305">
        <f t="shared" si="26"/>
        <v>7297473.8396752765</v>
      </c>
      <c r="N129" s="307">
        <f t="shared" si="21"/>
        <v>253331.40644085407</v>
      </c>
      <c r="O129" s="299"/>
      <c r="P129" s="308">
        <f>Données!AC129</f>
        <v>3499545.96</v>
      </c>
      <c r="Q129" s="304">
        <f>Données!AD129</f>
        <v>-401763.87382766278</v>
      </c>
      <c r="R129" s="299">
        <f t="shared" si="24"/>
        <v>3097782.0861723372</v>
      </c>
      <c r="S129" s="305">
        <f t="shared" si="25"/>
        <v>-1858669.2517034023</v>
      </c>
      <c r="T129" s="299">
        <f t="shared" si="27"/>
        <v>1227840.4006941444</v>
      </c>
      <c r="U129" s="309">
        <f t="shared" si="22"/>
        <v>-630828.85100925784</v>
      </c>
    </row>
    <row r="130" spans="1:21" x14ac:dyDescent="0.25">
      <c r="A130" s="156">
        <f>Données!A130</f>
        <v>5627</v>
      </c>
      <c r="B130" s="157" t="str">
        <f>Données!B130</f>
        <v>Chavannes-près-Renens</v>
      </c>
      <c r="C130" s="304">
        <f>Données!C130</f>
        <v>10735</v>
      </c>
      <c r="D130" s="300">
        <f t="shared" si="18"/>
        <v>1000</v>
      </c>
      <c r="E130" s="300">
        <f t="shared" si="23"/>
        <v>2000</v>
      </c>
      <c r="F130" s="305">
        <f t="shared" si="33"/>
        <v>7735</v>
      </c>
      <c r="G130" s="299">
        <f t="shared" si="33"/>
        <v>0</v>
      </c>
      <c r="H130" s="300">
        <f t="shared" si="33"/>
        <v>0</v>
      </c>
      <c r="I130" s="305">
        <f t="shared" si="33"/>
        <v>0</v>
      </c>
      <c r="J130" s="306">
        <f t="shared" si="19"/>
        <v>0</v>
      </c>
      <c r="K130" s="299"/>
      <c r="L130" s="300">
        <f t="shared" si="20"/>
        <v>-6051220.9446092984</v>
      </c>
      <c r="M130" s="305">
        <f t="shared" si="26"/>
        <v>6453977.7285313969</v>
      </c>
      <c r="N130" s="307">
        <f t="shared" si="21"/>
        <v>402756.78392209858</v>
      </c>
      <c r="O130" s="299"/>
      <c r="P130" s="308">
        <f>Données!AC130</f>
        <v>3354534</v>
      </c>
      <c r="Q130" s="304">
        <f>Données!AD130</f>
        <v>-233550</v>
      </c>
      <c r="R130" s="299">
        <f t="shared" si="24"/>
        <v>3120984</v>
      </c>
      <c r="S130" s="305">
        <f t="shared" si="25"/>
        <v>-1872590.4</v>
      </c>
      <c r="T130" s="299">
        <f t="shared" si="27"/>
        <v>1085917.5071223958</v>
      </c>
      <c r="U130" s="309">
        <f t="shared" si="22"/>
        <v>-786672.89287760411</v>
      </c>
    </row>
    <row r="131" spans="1:21" x14ac:dyDescent="0.25">
      <c r="A131" s="156">
        <f>Données!A131</f>
        <v>5628</v>
      </c>
      <c r="B131" s="157" t="str">
        <f>Données!B131</f>
        <v>Chigny</v>
      </c>
      <c r="C131" s="304">
        <f>Données!C131</f>
        <v>410</v>
      </c>
      <c r="D131" s="300">
        <f t="shared" si="18"/>
        <v>410</v>
      </c>
      <c r="E131" s="300">
        <f t="shared" si="23"/>
        <v>0</v>
      </c>
      <c r="F131" s="305">
        <f t="shared" si="33"/>
        <v>0</v>
      </c>
      <c r="G131" s="299">
        <f t="shared" si="33"/>
        <v>0</v>
      </c>
      <c r="H131" s="300">
        <f t="shared" si="33"/>
        <v>0</v>
      </c>
      <c r="I131" s="305">
        <f t="shared" si="33"/>
        <v>0</v>
      </c>
      <c r="J131" s="306">
        <f t="shared" si="19"/>
        <v>0</v>
      </c>
      <c r="K131" s="299"/>
      <c r="L131" s="300">
        <f t="shared" si="20"/>
        <v>-54798.466864490598</v>
      </c>
      <c r="M131" s="305">
        <f t="shared" si="26"/>
        <v>246495.65614325783</v>
      </c>
      <c r="N131" s="307">
        <f t="shared" si="21"/>
        <v>191697.18927876724</v>
      </c>
      <c r="O131" s="299"/>
      <c r="P131" s="308" t="str">
        <f>Données!AC131</f>
        <v/>
      </c>
      <c r="Q131" s="304" t="str">
        <f>Données!AD131</f>
        <v/>
      </c>
      <c r="R131" s="299">
        <f t="shared" si="24"/>
        <v>0</v>
      </c>
      <c r="S131" s="305">
        <f t="shared" si="25"/>
        <v>0</v>
      </c>
      <c r="T131" s="299">
        <f t="shared" si="27"/>
        <v>41474.259703789685</v>
      </c>
      <c r="U131" s="309">
        <f t="shared" si="22"/>
        <v>41474.259703789685</v>
      </c>
    </row>
    <row r="132" spans="1:21" x14ac:dyDescent="0.25">
      <c r="A132" s="156">
        <f>Données!A132</f>
        <v>5629</v>
      </c>
      <c r="B132" s="157" t="str">
        <f>Données!B132</f>
        <v>Clarmont</v>
      </c>
      <c r="C132" s="304">
        <f>Données!C132</f>
        <v>232</v>
      </c>
      <c r="D132" s="300">
        <f t="shared" si="18"/>
        <v>232</v>
      </c>
      <c r="E132" s="300">
        <f t="shared" si="23"/>
        <v>0</v>
      </c>
      <c r="F132" s="305">
        <f t="shared" si="33"/>
        <v>0</v>
      </c>
      <c r="G132" s="299">
        <f t="shared" si="33"/>
        <v>0</v>
      </c>
      <c r="H132" s="300">
        <f t="shared" si="33"/>
        <v>0</v>
      </c>
      <c r="I132" s="305">
        <f t="shared" si="33"/>
        <v>0</v>
      </c>
      <c r="J132" s="306">
        <f t="shared" si="19"/>
        <v>0</v>
      </c>
      <c r="K132" s="299"/>
      <c r="L132" s="300">
        <f t="shared" si="20"/>
        <v>-31007.912957467852</v>
      </c>
      <c r="M132" s="305">
        <f t="shared" si="26"/>
        <v>139480.46884203856</v>
      </c>
      <c r="N132" s="307">
        <f t="shared" si="21"/>
        <v>108472.55588457071</v>
      </c>
      <c r="O132" s="299"/>
      <c r="P132" s="308" t="str">
        <f>Données!AC132</f>
        <v/>
      </c>
      <c r="Q132" s="304" t="str">
        <f>Données!AD132</f>
        <v/>
      </c>
      <c r="R132" s="299">
        <f t="shared" si="24"/>
        <v>0</v>
      </c>
      <c r="S132" s="305">
        <f t="shared" si="25"/>
        <v>0</v>
      </c>
      <c r="T132" s="299">
        <f t="shared" si="27"/>
        <v>23468.36158848587</v>
      </c>
      <c r="U132" s="309">
        <f t="shared" si="22"/>
        <v>23468.36158848587</v>
      </c>
    </row>
    <row r="133" spans="1:21" x14ac:dyDescent="0.25">
      <c r="A133" s="156">
        <f>Données!A133</f>
        <v>5631</v>
      </c>
      <c r="B133" s="157" t="str">
        <f>Données!B133</f>
        <v>Denens</v>
      </c>
      <c r="C133" s="304">
        <f>Données!C133</f>
        <v>748</v>
      </c>
      <c r="D133" s="300">
        <f t="shared" si="18"/>
        <v>748</v>
      </c>
      <c r="E133" s="300">
        <f t="shared" si="23"/>
        <v>0</v>
      </c>
      <c r="F133" s="305">
        <f t="shared" si="33"/>
        <v>0</v>
      </c>
      <c r="G133" s="299">
        <f t="shared" si="33"/>
        <v>0</v>
      </c>
      <c r="H133" s="300">
        <f t="shared" si="33"/>
        <v>0</v>
      </c>
      <c r="I133" s="305">
        <f t="shared" si="33"/>
        <v>0</v>
      </c>
      <c r="J133" s="306">
        <f t="shared" si="19"/>
        <v>0</v>
      </c>
      <c r="K133" s="299"/>
      <c r="L133" s="300">
        <f t="shared" si="20"/>
        <v>-99973.788328387731</v>
      </c>
      <c r="M133" s="305">
        <f t="shared" si="26"/>
        <v>449704.27023208985</v>
      </c>
      <c r="N133" s="307">
        <f t="shared" si="21"/>
        <v>349730.48190370214</v>
      </c>
      <c r="O133" s="299"/>
      <c r="P133" s="308" t="str">
        <f>Données!AC133</f>
        <v/>
      </c>
      <c r="Q133" s="304" t="str">
        <f>Données!AD133</f>
        <v/>
      </c>
      <c r="R133" s="299">
        <f t="shared" si="24"/>
        <v>0</v>
      </c>
      <c r="S133" s="305">
        <f t="shared" si="25"/>
        <v>0</v>
      </c>
      <c r="T133" s="299">
        <f t="shared" si="27"/>
        <v>75665.234776669953</v>
      </c>
      <c r="U133" s="309">
        <f t="shared" si="22"/>
        <v>75665.234776669953</v>
      </c>
    </row>
    <row r="134" spans="1:21" x14ac:dyDescent="0.25">
      <c r="A134" s="156">
        <f>Données!A134</f>
        <v>5632</v>
      </c>
      <c r="B134" s="157" t="str">
        <f>Données!B134</f>
        <v>Denges</v>
      </c>
      <c r="C134" s="304">
        <f>Données!C134</f>
        <v>1844</v>
      </c>
      <c r="D134" s="300">
        <f t="shared" ref="D134:D196" si="34">IF(C134&gt;$D$5,$D$5-$D$4,C134)</f>
        <v>1000</v>
      </c>
      <c r="E134" s="300">
        <f t="shared" si="23"/>
        <v>844</v>
      </c>
      <c r="F134" s="305">
        <f t="shared" si="33"/>
        <v>0</v>
      </c>
      <c r="G134" s="299">
        <f t="shared" si="33"/>
        <v>0</v>
      </c>
      <c r="H134" s="300">
        <f t="shared" si="33"/>
        <v>0</v>
      </c>
      <c r="I134" s="305">
        <f t="shared" si="33"/>
        <v>0</v>
      </c>
      <c r="J134" s="306">
        <f t="shared" ref="J134:J196" si="35">IF($C134&lt;J$4,0,$C134-J$4)</f>
        <v>0</v>
      </c>
      <c r="K134" s="299"/>
      <c r="L134" s="300">
        <f t="shared" ref="L134:L196" si="36">-SUMPRODUCT($D$6:$J$6,D134:J134)</f>
        <v>-449507.81404549949</v>
      </c>
      <c r="M134" s="305">
        <f t="shared" si="26"/>
        <v>1108629.2437272377</v>
      </c>
      <c r="N134" s="307">
        <f t="shared" ref="N134:N196" si="37">SUM(L134:M134)</f>
        <v>659121.42968173814</v>
      </c>
      <c r="O134" s="299"/>
      <c r="P134" s="308">
        <f>Données!AC134</f>
        <v>572242.80750217719</v>
      </c>
      <c r="Q134" s="304">
        <f>Données!AD134</f>
        <v>-57638.32254261378</v>
      </c>
      <c r="R134" s="299">
        <f t="shared" si="24"/>
        <v>514604.48495956342</v>
      </c>
      <c r="S134" s="305">
        <f t="shared" si="25"/>
        <v>-308762.69097573805</v>
      </c>
      <c r="T134" s="299">
        <f t="shared" si="27"/>
        <v>186533.01193606871</v>
      </c>
      <c r="U134" s="309">
        <f t="shared" ref="U134:U196" si="38">S134+T134</f>
        <v>-122229.67903966934</v>
      </c>
    </row>
    <row r="135" spans="1:21" x14ac:dyDescent="0.25">
      <c r="A135" s="156">
        <f>Données!A135</f>
        <v>5633</v>
      </c>
      <c r="B135" s="157" t="str">
        <f>Données!B135</f>
        <v>Echandens</v>
      </c>
      <c r="C135" s="304">
        <f>Données!C135</f>
        <v>3116</v>
      </c>
      <c r="D135" s="300">
        <f t="shared" si="34"/>
        <v>1000</v>
      </c>
      <c r="E135" s="300">
        <f t="shared" ref="E135:E197" si="39">IF(C135&lt;$E$4,0,IF(C135&gt;$E$5,$E$5-$E$4,C135-$E$4))</f>
        <v>2000</v>
      </c>
      <c r="F135" s="305">
        <f t="shared" si="33"/>
        <v>116</v>
      </c>
      <c r="G135" s="299">
        <f t="shared" si="33"/>
        <v>0</v>
      </c>
      <c r="H135" s="300">
        <f t="shared" si="33"/>
        <v>0</v>
      </c>
      <c r="I135" s="305">
        <f t="shared" si="33"/>
        <v>0</v>
      </c>
      <c r="J135" s="306">
        <f t="shared" si="35"/>
        <v>0</v>
      </c>
      <c r="K135" s="299"/>
      <c r="L135" s="300">
        <f t="shared" si="36"/>
        <v>-959641.44411473779</v>
      </c>
      <c r="M135" s="305">
        <f t="shared" si="26"/>
        <v>1873366.9866887594</v>
      </c>
      <c r="N135" s="307">
        <f t="shared" si="37"/>
        <v>913725.54257402162</v>
      </c>
      <c r="O135" s="299"/>
      <c r="P135" s="308">
        <f>Données!AC135</f>
        <v>1119194.1514130477</v>
      </c>
      <c r="Q135" s="304">
        <f>Données!AD135</f>
        <v>-110964.19919127203</v>
      </c>
      <c r="R135" s="299">
        <f t="shared" ref="R135:R197" si="40">SUM(P135:Q135)</f>
        <v>1008229.9522217757</v>
      </c>
      <c r="S135" s="305">
        <f t="shared" ref="S135:S197" si="41">-R135*$P$6</f>
        <v>-604937.97133306542</v>
      </c>
      <c r="T135" s="299">
        <f t="shared" si="27"/>
        <v>315204.37374880159</v>
      </c>
      <c r="U135" s="309">
        <f t="shared" si="38"/>
        <v>-289733.59758426383</v>
      </c>
    </row>
    <row r="136" spans="1:21" x14ac:dyDescent="0.25">
      <c r="A136" s="156">
        <f>Données!A136</f>
        <v>5634</v>
      </c>
      <c r="B136" s="157" t="str">
        <f>Données!B136</f>
        <v>Echichens</v>
      </c>
      <c r="C136" s="304">
        <f>Données!C136</f>
        <v>3241</v>
      </c>
      <c r="D136" s="300">
        <f t="shared" si="34"/>
        <v>1000</v>
      </c>
      <c r="E136" s="300">
        <f t="shared" si="39"/>
        <v>2000</v>
      </c>
      <c r="F136" s="305">
        <f t="shared" si="33"/>
        <v>241</v>
      </c>
      <c r="G136" s="299">
        <f t="shared" si="33"/>
        <v>0</v>
      </c>
      <c r="H136" s="300">
        <f t="shared" si="33"/>
        <v>0</v>
      </c>
      <c r="I136" s="305">
        <f t="shared" si="33"/>
        <v>0</v>
      </c>
      <c r="J136" s="306">
        <f t="shared" si="35"/>
        <v>0</v>
      </c>
      <c r="K136" s="299"/>
      <c r="L136" s="300">
        <f t="shared" si="36"/>
        <v>-1043175.6923837784</v>
      </c>
      <c r="M136" s="305">
        <f t="shared" ref="M136:M199" si="42">(-$L$6)/($C$302)*C136</f>
        <v>1948518.1013665819</v>
      </c>
      <c r="N136" s="307">
        <f t="shared" si="37"/>
        <v>905342.40898280346</v>
      </c>
      <c r="O136" s="299"/>
      <c r="P136" s="308">
        <f>Données!AC136</f>
        <v>419595.96911947551</v>
      </c>
      <c r="Q136" s="304">
        <f>Données!AD136</f>
        <v>-63666.142016689992</v>
      </c>
      <c r="R136" s="299">
        <f t="shared" si="40"/>
        <v>355929.82710278552</v>
      </c>
      <c r="S136" s="305">
        <f t="shared" si="41"/>
        <v>-213557.8962616713</v>
      </c>
      <c r="T136" s="299">
        <f t="shared" ref="T136:T199" si="43">-$S$6/$C$302*C136</f>
        <v>327848.96512190817</v>
      </c>
      <c r="U136" s="309">
        <f t="shared" si="38"/>
        <v>114291.06886023688</v>
      </c>
    </row>
    <row r="137" spans="1:21" x14ac:dyDescent="0.25">
      <c r="A137" s="156">
        <f>Données!A137</f>
        <v>5635</v>
      </c>
      <c r="B137" s="157" t="str">
        <f>Données!B137</f>
        <v>Ecublens</v>
      </c>
      <c r="C137" s="304">
        <f>Données!C137</f>
        <v>13758</v>
      </c>
      <c r="D137" s="300">
        <f t="shared" si="34"/>
        <v>1000</v>
      </c>
      <c r="E137" s="300">
        <f t="shared" si="39"/>
        <v>2000</v>
      </c>
      <c r="F137" s="305">
        <f t="shared" ref="F137:I146" si="44">IF($C137&lt;F$4,0,IF($C137&gt;F$5,F$5-F$4,$C137-F$4))</f>
        <v>9000</v>
      </c>
      <c r="G137" s="299">
        <f t="shared" si="44"/>
        <v>1758</v>
      </c>
      <c r="H137" s="300">
        <f t="shared" si="44"/>
        <v>0</v>
      </c>
      <c r="I137" s="305">
        <f t="shared" si="44"/>
        <v>0</v>
      </c>
      <c r="J137" s="306">
        <f t="shared" si="35"/>
        <v>0</v>
      </c>
      <c r="K137" s="299"/>
      <c r="L137" s="300">
        <f t="shared" si="36"/>
        <v>-8776308.6053412464</v>
      </c>
      <c r="M137" s="305">
        <f t="shared" si="42"/>
        <v>8271432.2858998561</v>
      </c>
      <c r="N137" s="307">
        <f t="shared" si="37"/>
        <v>-504876.31944139022</v>
      </c>
      <c r="O137" s="299"/>
      <c r="P137" s="308">
        <f>Données!AC137</f>
        <v>5456980.96</v>
      </c>
      <c r="Q137" s="304">
        <f>Données!AD137</f>
        <v>-539256.70132301247</v>
      </c>
      <c r="R137" s="299">
        <f t="shared" si="40"/>
        <v>4917724.2586769871</v>
      </c>
      <c r="S137" s="305">
        <f t="shared" si="41"/>
        <v>-2950634.5552061922</v>
      </c>
      <c r="T137" s="299">
        <f t="shared" si="43"/>
        <v>1391714.3048896061</v>
      </c>
      <c r="U137" s="309">
        <f t="shared" si="38"/>
        <v>-1558920.2503165861</v>
      </c>
    </row>
    <row r="138" spans="1:21" x14ac:dyDescent="0.25">
      <c r="A138" s="156">
        <f>Données!A138</f>
        <v>5636</v>
      </c>
      <c r="B138" s="157" t="str">
        <f>Données!B138</f>
        <v>Etoy</v>
      </c>
      <c r="C138" s="304">
        <f>Données!C138</f>
        <v>3013</v>
      </c>
      <c r="D138" s="300">
        <f t="shared" si="34"/>
        <v>1000</v>
      </c>
      <c r="E138" s="300">
        <f t="shared" si="39"/>
        <v>2000</v>
      </c>
      <c r="F138" s="305">
        <f t="shared" si="44"/>
        <v>13</v>
      </c>
      <c r="G138" s="299">
        <f t="shared" si="44"/>
        <v>0</v>
      </c>
      <c r="H138" s="300">
        <f t="shared" si="44"/>
        <v>0</v>
      </c>
      <c r="I138" s="305">
        <f t="shared" si="44"/>
        <v>0</v>
      </c>
      <c r="J138" s="306">
        <f t="shared" si="35"/>
        <v>0</v>
      </c>
      <c r="K138" s="299"/>
      <c r="L138" s="300">
        <f t="shared" si="36"/>
        <v>-890809.22354104847</v>
      </c>
      <c r="M138" s="305">
        <f t="shared" si="42"/>
        <v>1811442.4681942337</v>
      </c>
      <c r="N138" s="307">
        <f t="shared" si="37"/>
        <v>920633.24465318525</v>
      </c>
      <c r="O138" s="299"/>
      <c r="P138" s="308" t="str">
        <f>Données!AC138</f>
        <v/>
      </c>
      <c r="Q138" s="304" t="str">
        <f>Données!AD138</f>
        <v/>
      </c>
      <c r="R138" s="299">
        <f t="shared" si="40"/>
        <v>0</v>
      </c>
      <c r="S138" s="305">
        <f t="shared" si="41"/>
        <v>0</v>
      </c>
      <c r="T138" s="299">
        <f t="shared" si="43"/>
        <v>304785.23045736173</v>
      </c>
      <c r="U138" s="309">
        <f t="shared" si="38"/>
        <v>304785.23045736173</v>
      </c>
    </row>
    <row r="139" spans="1:21" x14ac:dyDescent="0.25">
      <c r="A139" s="156">
        <f>Données!A139</f>
        <v>5637</v>
      </c>
      <c r="B139" s="157" t="str">
        <f>Données!B139</f>
        <v>Lavigny</v>
      </c>
      <c r="C139" s="304">
        <f>Données!C139</f>
        <v>1108</v>
      </c>
      <c r="D139" s="300">
        <f t="shared" si="34"/>
        <v>1000</v>
      </c>
      <c r="E139" s="300">
        <f t="shared" si="39"/>
        <v>108</v>
      </c>
      <c r="F139" s="305">
        <f t="shared" si="44"/>
        <v>0</v>
      </c>
      <c r="G139" s="299">
        <f t="shared" si="44"/>
        <v>0</v>
      </c>
      <c r="H139" s="300">
        <f t="shared" si="44"/>
        <v>0</v>
      </c>
      <c r="I139" s="305">
        <f t="shared" si="44"/>
        <v>0</v>
      </c>
      <c r="J139" s="306">
        <f t="shared" si="35"/>
        <v>0</v>
      </c>
      <c r="K139" s="299"/>
      <c r="L139" s="300">
        <f t="shared" si="36"/>
        <v>-174072.00791295746</v>
      </c>
      <c r="M139" s="305">
        <f t="shared" si="42"/>
        <v>666139.48050421872</v>
      </c>
      <c r="N139" s="307">
        <f t="shared" si="37"/>
        <v>492067.47259126126</v>
      </c>
      <c r="O139" s="299"/>
      <c r="P139" s="308" t="str">
        <f>Données!AC139</f>
        <v/>
      </c>
      <c r="Q139" s="304" t="str">
        <f>Données!AD139</f>
        <v/>
      </c>
      <c r="R139" s="299">
        <f t="shared" si="40"/>
        <v>0</v>
      </c>
      <c r="S139" s="305">
        <f t="shared" si="41"/>
        <v>0</v>
      </c>
      <c r="T139" s="299">
        <f t="shared" si="43"/>
        <v>112081.65793121699</v>
      </c>
      <c r="U139" s="309">
        <f t="shared" si="38"/>
        <v>112081.65793121699</v>
      </c>
    </row>
    <row r="140" spans="1:21" x14ac:dyDescent="0.25">
      <c r="A140" s="156">
        <f>Données!A140</f>
        <v>5638</v>
      </c>
      <c r="B140" s="157" t="str">
        <f>Données!B140</f>
        <v>Lonay</v>
      </c>
      <c r="C140" s="304">
        <f>Données!C140</f>
        <v>2719</v>
      </c>
      <c r="D140" s="300">
        <f t="shared" si="34"/>
        <v>1000</v>
      </c>
      <c r="E140" s="300">
        <f t="shared" si="39"/>
        <v>1719</v>
      </c>
      <c r="F140" s="305">
        <f t="shared" si="44"/>
        <v>0</v>
      </c>
      <c r="G140" s="299">
        <f t="shared" si="44"/>
        <v>0</v>
      </c>
      <c r="H140" s="300">
        <f t="shared" si="44"/>
        <v>0</v>
      </c>
      <c r="I140" s="305">
        <f t="shared" si="44"/>
        <v>0</v>
      </c>
      <c r="J140" s="306">
        <f t="shared" si="35"/>
        <v>0</v>
      </c>
      <c r="K140" s="299"/>
      <c r="L140" s="300">
        <f t="shared" si="36"/>
        <v>-776962.06726013846</v>
      </c>
      <c r="M140" s="305">
        <f t="shared" si="42"/>
        <v>1634687.0464719951</v>
      </c>
      <c r="N140" s="307">
        <f t="shared" si="37"/>
        <v>857724.97921185661</v>
      </c>
      <c r="O140" s="299"/>
      <c r="P140" s="308">
        <f>Données!AC140</f>
        <v>1128006.0240026347</v>
      </c>
      <c r="Q140" s="304">
        <f>Données!AD140</f>
        <v>-122771.19595909852</v>
      </c>
      <c r="R140" s="299">
        <f t="shared" si="40"/>
        <v>1005234.8280435362</v>
      </c>
      <c r="S140" s="305">
        <f t="shared" si="41"/>
        <v>-603140.89682612172</v>
      </c>
      <c r="T140" s="299">
        <f t="shared" si="43"/>
        <v>275045.15154781501</v>
      </c>
      <c r="U140" s="309">
        <f t="shared" si="38"/>
        <v>-328095.74527830671</v>
      </c>
    </row>
    <row r="141" spans="1:21" x14ac:dyDescent="0.25">
      <c r="A141" s="156">
        <f>Données!A141</f>
        <v>5639</v>
      </c>
      <c r="B141" s="157" t="str">
        <f>Données!B141</f>
        <v>Lully</v>
      </c>
      <c r="C141" s="304">
        <f>Données!C141</f>
        <v>824</v>
      </c>
      <c r="D141" s="300">
        <f t="shared" si="34"/>
        <v>824</v>
      </c>
      <c r="E141" s="300">
        <f t="shared" si="39"/>
        <v>0</v>
      </c>
      <c r="F141" s="305">
        <f t="shared" si="44"/>
        <v>0</v>
      </c>
      <c r="G141" s="299">
        <f t="shared" si="44"/>
        <v>0</v>
      </c>
      <c r="H141" s="300">
        <f t="shared" si="44"/>
        <v>0</v>
      </c>
      <c r="I141" s="305">
        <f t="shared" si="44"/>
        <v>0</v>
      </c>
      <c r="J141" s="306">
        <f t="shared" si="35"/>
        <v>0</v>
      </c>
      <c r="K141" s="299"/>
      <c r="L141" s="300">
        <f t="shared" si="36"/>
        <v>-110131.55291790306</v>
      </c>
      <c r="M141" s="305">
        <f t="shared" si="42"/>
        <v>495396.14795620594</v>
      </c>
      <c r="N141" s="307">
        <f t="shared" si="37"/>
        <v>385264.59503830288</v>
      </c>
      <c r="O141" s="299"/>
      <c r="P141" s="308">
        <f>Données!AC141</f>
        <v>182999.17474505477</v>
      </c>
      <c r="Q141" s="304">
        <f>Données!AD141</f>
        <v>-21877.432225781347</v>
      </c>
      <c r="R141" s="299">
        <f t="shared" si="40"/>
        <v>161121.74251927342</v>
      </c>
      <c r="S141" s="305">
        <f t="shared" si="41"/>
        <v>-96673.045511564051</v>
      </c>
      <c r="T141" s="299">
        <f t="shared" si="43"/>
        <v>83353.146331518772</v>
      </c>
      <c r="U141" s="309">
        <f t="shared" si="38"/>
        <v>-13319.899180045279</v>
      </c>
    </row>
    <row r="142" spans="1:21" x14ac:dyDescent="0.25">
      <c r="A142" s="156">
        <f>Données!A142</f>
        <v>5640</v>
      </c>
      <c r="B142" s="157" t="str">
        <f>Données!B142</f>
        <v>Lussy-sur-Morges</v>
      </c>
      <c r="C142" s="304">
        <f>Données!C142</f>
        <v>721</v>
      </c>
      <c r="D142" s="300">
        <f t="shared" si="34"/>
        <v>721</v>
      </c>
      <c r="E142" s="300">
        <f t="shared" si="39"/>
        <v>0</v>
      </c>
      <c r="F142" s="305">
        <f t="shared" si="44"/>
        <v>0</v>
      </c>
      <c r="G142" s="299">
        <f t="shared" si="44"/>
        <v>0</v>
      </c>
      <c r="H142" s="300">
        <f t="shared" si="44"/>
        <v>0</v>
      </c>
      <c r="I142" s="305">
        <f t="shared" si="44"/>
        <v>0</v>
      </c>
      <c r="J142" s="306">
        <f t="shared" si="35"/>
        <v>0</v>
      </c>
      <c r="K142" s="299"/>
      <c r="L142" s="300">
        <f t="shared" si="36"/>
        <v>-96365.108803165174</v>
      </c>
      <c r="M142" s="305">
        <f t="shared" si="42"/>
        <v>433471.62946168019</v>
      </c>
      <c r="N142" s="307">
        <f t="shared" si="37"/>
        <v>337106.52065851504</v>
      </c>
      <c r="O142" s="299"/>
      <c r="P142" s="308">
        <f>Données!AC142</f>
        <v>205285.86916955173</v>
      </c>
      <c r="Q142" s="304">
        <f>Données!AD142</f>
        <v>-25253.256667498761</v>
      </c>
      <c r="R142" s="299">
        <f t="shared" si="40"/>
        <v>180032.61250205297</v>
      </c>
      <c r="S142" s="305">
        <f t="shared" si="41"/>
        <v>-108019.56750123178</v>
      </c>
      <c r="T142" s="299">
        <f t="shared" si="43"/>
        <v>72934.003040078926</v>
      </c>
      <c r="U142" s="309">
        <f t="shared" si="38"/>
        <v>-35085.564461152855</v>
      </c>
    </row>
    <row r="143" spans="1:21" x14ac:dyDescent="0.25">
      <c r="A143" s="156">
        <f>Données!A143</f>
        <v>5642</v>
      </c>
      <c r="B143" s="157" t="str">
        <f>Données!B143</f>
        <v>Morges</v>
      </c>
      <c r="C143" s="304">
        <f>Données!C143</f>
        <v>17813</v>
      </c>
      <c r="D143" s="300">
        <f t="shared" si="34"/>
        <v>1000</v>
      </c>
      <c r="E143" s="300">
        <f t="shared" si="39"/>
        <v>2000</v>
      </c>
      <c r="F143" s="305">
        <f t="shared" si="44"/>
        <v>9000</v>
      </c>
      <c r="G143" s="299">
        <f t="shared" si="44"/>
        <v>3000</v>
      </c>
      <c r="H143" s="300">
        <f t="shared" si="44"/>
        <v>2813</v>
      </c>
      <c r="I143" s="305">
        <f t="shared" si="44"/>
        <v>0</v>
      </c>
      <c r="J143" s="306">
        <f t="shared" si="35"/>
        <v>0</v>
      </c>
      <c r="K143" s="299"/>
      <c r="L143" s="300">
        <f t="shared" si="36"/>
        <v>-13262458.605341248</v>
      </c>
      <c r="M143" s="305">
        <f t="shared" si="42"/>
        <v>10709334.446048418</v>
      </c>
      <c r="N143" s="307">
        <f t="shared" si="37"/>
        <v>-2553124.1592928302</v>
      </c>
      <c r="O143" s="299"/>
      <c r="P143" s="308">
        <f>Données!AC143</f>
        <v>5192324.4757985147</v>
      </c>
      <c r="Q143" s="304">
        <f>Données!AD143</f>
        <v>-599795.04757458344</v>
      </c>
      <c r="R143" s="299">
        <f t="shared" si="40"/>
        <v>4592529.4282239312</v>
      </c>
      <c r="S143" s="305">
        <f t="shared" si="41"/>
        <v>-2755517.6569343586</v>
      </c>
      <c r="T143" s="299">
        <f t="shared" si="43"/>
        <v>1801904.8490331843</v>
      </c>
      <c r="U143" s="309">
        <f t="shared" si="38"/>
        <v>-953612.8079011743</v>
      </c>
    </row>
    <row r="144" spans="1:21" x14ac:dyDescent="0.25">
      <c r="A144" s="156">
        <f>Données!A144</f>
        <v>5643</v>
      </c>
      <c r="B144" s="157" t="str">
        <f>Données!B144</f>
        <v>Préverenges</v>
      </c>
      <c r="C144" s="304">
        <f>Données!C144</f>
        <v>5236</v>
      </c>
      <c r="D144" s="300">
        <f t="shared" si="34"/>
        <v>1000</v>
      </c>
      <c r="E144" s="300">
        <f t="shared" si="39"/>
        <v>2000</v>
      </c>
      <c r="F144" s="305">
        <f t="shared" si="44"/>
        <v>2236</v>
      </c>
      <c r="G144" s="299">
        <f t="shared" si="44"/>
        <v>0</v>
      </c>
      <c r="H144" s="300">
        <f t="shared" si="44"/>
        <v>0</v>
      </c>
      <c r="I144" s="305">
        <f t="shared" si="44"/>
        <v>0</v>
      </c>
      <c r="J144" s="306">
        <f t="shared" si="35"/>
        <v>0</v>
      </c>
      <c r="K144" s="299"/>
      <c r="L144" s="300">
        <f t="shared" si="36"/>
        <v>-2376382.2947576661</v>
      </c>
      <c r="M144" s="305">
        <f t="shared" si="42"/>
        <v>3147929.891624629</v>
      </c>
      <c r="N144" s="307">
        <f t="shared" si="37"/>
        <v>771547.59686696297</v>
      </c>
      <c r="O144" s="299"/>
      <c r="P144" s="308">
        <f>Données!AC144</f>
        <v>1177582.7305990045</v>
      </c>
      <c r="Q144" s="304">
        <f>Données!AD144</f>
        <v>-127344.3348509788</v>
      </c>
      <c r="R144" s="299">
        <f t="shared" si="40"/>
        <v>1050238.3957480257</v>
      </c>
      <c r="S144" s="305">
        <f t="shared" si="41"/>
        <v>-630143.03744881542</v>
      </c>
      <c r="T144" s="299">
        <f t="shared" si="43"/>
        <v>529656.64343668974</v>
      </c>
      <c r="U144" s="309">
        <f t="shared" si="38"/>
        <v>-100486.39401212567</v>
      </c>
    </row>
    <row r="145" spans="1:21" x14ac:dyDescent="0.25">
      <c r="A145" s="156">
        <f>Données!A145</f>
        <v>5645</v>
      </c>
      <c r="B145" s="157" t="str">
        <f>Données!B145</f>
        <v>Romanel-sur-Morges</v>
      </c>
      <c r="C145" s="304">
        <f>Données!C145</f>
        <v>462</v>
      </c>
      <c r="D145" s="300">
        <f t="shared" si="34"/>
        <v>462</v>
      </c>
      <c r="E145" s="300">
        <f t="shared" si="39"/>
        <v>0</v>
      </c>
      <c r="F145" s="305">
        <f t="shared" si="44"/>
        <v>0</v>
      </c>
      <c r="G145" s="299">
        <f t="shared" si="44"/>
        <v>0</v>
      </c>
      <c r="H145" s="300">
        <f t="shared" si="44"/>
        <v>0</v>
      </c>
      <c r="I145" s="305">
        <f t="shared" si="44"/>
        <v>0</v>
      </c>
      <c r="J145" s="306">
        <f t="shared" si="35"/>
        <v>0</v>
      </c>
      <c r="K145" s="299"/>
      <c r="L145" s="300">
        <f t="shared" si="36"/>
        <v>-61748.516320474773</v>
      </c>
      <c r="M145" s="305">
        <f t="shared" si="42"/>
        <v>277758.51984923199</v>
      </c>
      <c r="N145" s="307">
        <f t="shared" si="37"/>
        <v>216010.00352875722</v>
      </c>
      <c r="O145" s="299"/>
      <c r="P145" s="308" t="str">
        <f>Données!AC145</f>
        <v/>
      </c>
      <c r="Q145" s="304" t="str">
        <f>Données!AD145</f>
        <v/>
      </c>
      <c r="R145" s="299">
        <f t="shared" si="40"/>
        <v>0</v>
      </c>
      <c r="S145" s="305">
        <f t="shared" si="41"/>
        <v>0</v>
      </c>
      <c r="T145" s="299">
        <f t="shared" si="43"/>
        <v>46734.409715002032</v>
      </c>
      <c r="U145" s="309">
        <f t="shared" si="38"/>
        <v>46734.409715002032</v>
      </c>
    </row>
    <row r="146" spans="1:21" x14ac:dyDescent="0.25">
      <c r="A146" s="156">
        <f>Données!A146</f>
        <v>5646</v>
      </c>
      <c r="B146" s="157" t="str">
        <f>Données!B146</f>
        <v>Saint-Prex</v>
      </c>
      <c r="C146" s="304">
        <f>Données!C146</f>
        <v>5922</v>
      </c>
      <c r="D146" s="300">
        <f t="shared" si="34"/>
        <v>1000</v>
      </c>
      <c r="E146" s="300">
        <f t="shared" si="39"/>
        <v>2000</v>
      </c>
      <c r="F146" s="305">
        <f t="shared" si="44"/>
        <v>2922</v>
      </c>
      <c r="G146" s="299">
        <f t="shared" si="44"/>
        <v>0</v>
      </c>
      <c r="H146" s="300">
        <f t="shared" si="44"/>
        <v>0</v>
      </c>
      <c r="I146" s="305">
        <f t="shared" si="44"/>
        <v>0</v>
      </c>
      <c r="J146" s="306">
        <f t="shared" si="35"/>
        <v>0</v>
      </c>
      <c r="K146" s="299"/>
      <c r="L146" s="300">
        <f t="shared" si="36"/>
        <v>-2834818.2492581606</v>
      </c>
      <c r="M146" s="305">
        <f t="shared" si="42"/>
        <v>3560359.2089765188</v>
      </c>
      <c r="N146" s="307">
        <f t="shared" si="37"/>
        <v>725540.95971835824</v>
      </c>
      <c r="O146" s="299"/>
      <c r="P146" s="308" t="str">
        <f>Données!AC146</f>
        <v/>
      </c>
      <c r="Q146" s="304" t="str">
        <f>Données!AD146</f>
        <v/>
      </c>
      <c r="R146" s="299">
        <f t="shared" si="40"/>
        <v>0</v>
      </c>
      <c r="S146" s="305">
        <f t="shared" si="41"/>
        <v>0</v>
      </c>
      <c r="T146" s="299">
        <f t="shared" si="43"/>
        <v>599050.16089229879</v>
      </c>
      <c r="U146" s="309">
        <f t="shared" si="38"/>
        <v>599050.16089229879</v>
      </c>
    </row>
    <row r="147" spans="1:21" x14ac:dyDescent="0.25">
      <c r="A147" s="156">
        <f>Données!A147</f>
        <v>5648</v>
      </c>
      <c r="B147" s="157" t="str">
        <f>Données!B147</f>
        <v>Saint-Sulpice</v>
      </c>
      <c r="C147" s="304">
        <f>Données!C147</f>
        <v>5193</v>
      </c>
      <c r="D147" s="300">
        <f t="shared" si="34"/>
        <v>1000</v>
      </c>
      <c r="E147" s="300">
        <f t="shared" si="39"/>
        <v>2000</v>
      </c>
      <c r="F147" s="305">
        <f t="shared" ref="F147:I156" si="45">IF($C147&lt;F$4,0,IF($C147&gt;F$5,F$5-F$4,$C147-F$4))</f>
        <v>2193</v>
      </c>
      <c r="G147" s="299">
        <f t="shared" si="45"/>
        <v>0</v>
      </c>
      <c r="H147" s="300">
        <f t="shared" si="45"/>
        <v>0</v>
      </c>
      <c r="I147" s="305">
        <f t="shared" si="45"/>
        <v>0</v>
      </c>
      <c r="J147" s="306">
        <f t="shared" si="35"/>
        <v>0</v>
      </c>
      <c r="K147" s="299"/>
      <c r="L147" s="300">
        <f t="shared" si="36"/>
        <v>-2347646.5133531159</v>
      </c>
      <c r="M147" s="305">
        <f t="shared" si="42"/>
        <v>3122077.9081754582</v>
      </c>
      <c r="N147" s="307">
        <f t="shared" si="37"/>
        <v>774431.39482234232</v>
      </c>
      <c r="O147" s="299"/>
      <c r="P147" s="308">
        <f>Données!AC147</f>
        <v>2453666</v>
      </c>
      <c r="Q147" s="304">
        <f>Données!AD147</f>
        <v>-196525.77841295622</v>
      </c>
      <c r="R147" s="299">
        <f t="shared" si="40"/>
        <v>2257140.2215870437</v>
      </c>
      <c r="S147" s="305">
        <f t="shared" si="41"/>
        <v>-1354284.1329522261</v>
      </c>
      <c r="T147" s="299">
        <f t="shared" si="43"/>
        <v>525306.90400434099</v>
      </c>
      <c r="U147" s="309">
        <f t="shared" si="38"/>
        <v>-828977.2289478851</v>
      </c>
    </row>
    <row r="148" spans="1:21" x14ac:dyDescent="0.25">
      <c r="A148" s="156">
        <f>Données!A148</f>
        <v>5649</v>
      </c>
      <c r="B148" s="157" t="str">
        <f>Données!B148</f>
        <v>Tolochenaz</v>
      </c>
      <c r="C148" s="304">
        <f>Données!C148</f>
        <v>1928</v>
      </c>
      <c r="D148" s="300">
        <f t="shared" si="34"/>
        <v>1000</v>
      </c>
      <c r="E148" s="300">
        <f t="shared" si="39"/>
        <v>928</v>
      </c>
      <c r="F148" s="305">
        <f t="shared" si="45"/>
        <v>0</v>
      </c>
      <c r="G148" s="299">
        <f t="shared" si="45"/>
        <v>0</v>
      </c>
      <c r="H148" s="300">
        <f t="shared" si="45"/>
        <v>0</v>
      </c>
      <c r="I148" s="305">
        <f t="shared" si="45"/>
        <v>0</v>
      </c>
      <c r="J148" s="306">
        <f t="shared" si="35"/>
        <v>0</v>
      </c>
      <c r="K148" s="299"/>
      <c r="L148" s="300">
        <f t="shared" si="36"/>
        <v>-480943.42235410481</v>
      </c>
      <c r="M148" s="305">
        <f t="shared" si="42"/>
        <v>1159130.7927907342</v>
      </c>
      <c r="N148" s="307">
        <f t="shared" si="37"/>
        <v>678187.3704366294</v>
      </c>
      <c r="O148" s="299"/>
      <c r="P148" s="308">
        <f>Données!AC148</f>
        <v>786825.79765053967</v>
      </c>
      <c r="Q148" s="304">
        <f>Données!AD148</f>
        <v>-92889.218548725708</v>
      </c>
      <c r="R148" s="299">
        <f t="shared" si="40"/>
        <v>693936.57910181396</v>
      </c>
      <c r="S148" s="305">
        <f t="shared" si="41"/>
        <v>-416361.94746108836</v>
      </c>
      <c r="T148" s="299">
        <f t="shared" si="43"/>
        <v>195030.17733879638</v>
      </c>
      <c r="U148" s="309">
        <f t="shared" si="38"/>
        <v>-221331.77012229199</v>
      </c>
    </row>
    <row r="149" spans="1:21" x14ac:dyDescent="0.25">
      <c r="A149" s="156">
        <f>Données!A149</f>
        <v>5650</v>
      </c>
      <c r="B149" s="157" t="str">
        <f>Données!B149</f>
        <v>Vaux-sur-Morges</v>
      </c>
      <c r="C149" s="304">
        <f>Données!C149</f>
        <v>185</v>
      </c>
      <c r="D149" s="300">
        <f t="shared" si="34"/>
        <v>185</v>
      </c>
      <c r="E149" s="300">
        <f t="shared" si="39"/>
        <v>0</v>
      </c>
      <c r="F149" s="305">
        <f t="shared" si="45"/>
        <v>0</v>
      </c>
      <c r="G149" s="299">
        <f t="shared" si="45"/>
        <v>0</v>
      </c>
      <c r="H149" s="300">
        <f t="shared" si="45"/>
        <v>0</v>
      </c>
      <c r="I149" s="305">
        <f t="shared" si="45"/>
        <v>0</v>
      </c>
      <c r="J149" s="306">
        <f t="shared" si="35"/>
        <v>0</v>
      </c>
      <c r="K149" s="299"/>
      <c r="L149" s="300">
        <f t="shared" si="36"/>
        <v>-24726.137487636002</v>
      </c>
      <c r="M149" s="305">
        <f t="shared" si="42"/>
        <v>111223.64972317731</v>
      </c>
      <c r="N149" s="307">
        <f t="shared" si="37"/>
        <v>86497.512235541304</v>
      </c>
      <c r="O149" s="299"/>
      <c r="P149" s="308" t="str">
        <f>Données!AC149</f>
        <v/>
      </c>
      <c r="Q149" s="304" t="str">
        <f>Données!AD149</f>
        <v/>
      </c>
      <c r="R149" s="299">
        <f t="shared" si="40"/>
        <v>0</v>
      </c>
      <c r="S149" s="305">
        <f t="shared" si="41"/>
        <v>0</v>
      </c>
      <c r="T149" s="299">
        <f t="shared" si="43"/>
        <v>18713.995232197783</v>
      </c>
      <c r="U149" s="309">
        <f t="shared" si="38"/>
        <v>18713.995232197783</v>
      </c>
    </row>
    <row r="150" spans="1:21" x14ac:dyDescent="0.25">
      <c r="A150" s="156">
        <f>Données!A150</f>
        <v>5651</v>
      </c>
      <c r="B150" s="157" t="str">
        <f>Données!B150</f>
        <v>Villars-Sainte-Croix</v>
      </c>
      <c r="C150" s="304">
        <f>Données!C150</f>
        <v>943</v>
      </c>
      <c r="D150" s="300">
        <f t="shared" si="34"/>
        <v>943</v>
      </c>
      <c r="E150" s="300">
        <f t="shared" si="39"/>
        <v>0</v>
      </c>
      <c r="F150" s="305">
        <f t="shared" si="45"/>
        <v>0</v>
      </c>
      <c r="G150" s="299">
        <f t="shared" si="45"/>
        <v>0</v>
      </c>
      <c r="H150" s="300">
        <f t="shared" si="45"/>
        <v>0</v>
      </c>
      <c r="I150" s="305">
        <f t="shared" si="45"/>
        <v>0</v>
      </c>
      <c r="J150" s="306">
        <f t="shared" si="35"/>
        <v>0</v>
      </c>
      <c r="K150" s="299"/>
      <c r="L150" s="300">
        <f t="shared" si="36"/>
        <v>-126036.47378832838</v>
      </c>
      <c r="M150" s="305">
        <f t="shared" si="42"/>
        <v>566940.00912949303</v>
      </c>
      <c r="N150" s="307">
        <f t="shared" si="37"/>
        <v>440903.53534116468</v>
      </c>
      <c r="O150" s="299"/>
      <c r="P150" s="308">
        <f>Données!AC150</f>
        <v>493146</v>
      </c>
      <c r="Q150" s="304">
        <f>Données!AD150</f>
        <v>-87879.72</v>
      </c>
      <c r="R150" s="299">
        <f t="shared" si="40"/>
        <v>405266.28</v>
      </c>
      <c r="S150" s="305">
        <f t="shared" si="41"/>
        <v>-243159.76800000001</v>
      </c>
      <c r="T150" s="299">
        <f t="shared" si="43"/>
        <v>95390.797318716272</v>
      </c>
      <c r="U150" s="309">
        <f t="shared" si="38"/>
        <v>-147768.97068128374</v>
      </c>
    </row>
    <row r="151" spans="1:21" x14ac:dyDescent="0.25">
      <c r="A151" s="156">
        <f>Données!A151</f>
        <v>5652</v>
      </c>
      <c r="B151" s="157" t="str">
        <f>Données!B151</f>
        <v>Villars-sous-Yens</v>
      </c>
      <c r="C151" s="304">
        <f>Données!C151</f>
        <v>603</v>
      </c>
      <c r="D151" s="300">
        <f t="shared" si="34"/>
        <v>603</v>
      </c>
      <c r="E151" s="300">
        <f t="shared" si="39"/>
        <v>0</v>
      </c>
      <c r="F151" s="305">
        <f t="shared" si="45"/>
        <v>0</v>
      </c>
      <c r="G151" s="299">
        <f t="shared" si="45"/>
        <v>0</v>
      </c>
      <c r="H151" s="300">
        <f t="shared" si="45"/>
        <v>0</v>
      </c>
      <c r="I151" s="305">
        <f t="shared" si="45"/>
        <v>0</v>
      </c>
      <c r="J151" s="306">
        <f t="shared" si="35"/>
        <v>0</v>
      </c>
      <c r="K151" s="299"/>
      <c r="L151" s="300">
        <f t="shared" si="36"/>
        <v>-80593.842729970318</v>
      </c>
      <c r="M151" s="305">
        <f t="shared" si="42"/>
        <v>362528.97720581578</v>
      </c>
      <c r="N151" s="307">
        <f t="shared" si="37"/>
        <v>281935.13447584549</v>
      </c>
      <c r="O151" s="299"/>
      <c r="P151" s="308" t="str">
        <f>Données!AC151</f>
        <v/>
      </c>
      <c r="Q151" s="304" t="str">
        <f>Données!AD151</f>
        <v/>
      </c>
      <c r="R151" s="299">
        <f t="shared" si="40"/>
        <v>0</v>
      </c>
      <c r="S151" s="305">
        <f t="shared" si="41"/>
        <v>0</v>
      </c>
      <c r="T151" s="299">
        <f t="shared" si="43"/>
        <v>60997.508783866288</v>
      </c>
      <c r="U151" s="309">
        <f t="shared" si="38"/>
        <v>60997.508783866288</v>
      </c>
    </row>
    <row r="152" spans="1:21" x14ac:dyDescent="0.25">
      <c r="A152" s="156">
        <f>Données!A152</f>
        <v>5653</v>
      </c>
      <c r="B152" s="157" t="str">
        <f>Données!B152</f>
        <v>Vufflens-le-Château</v>
      </c>
      <c r="C152" s="304">
        <f>Données!C152</f>
        <v>887</v>
      </c>
      <c r="D152" s="300">
        <f t="shared" si="34"/>
        <v>887</v>
      </c>
      <c r="E152" s="300">
        <f t="shared" si="39"/>
        <v>0</v>
      </c>
      <c r="F152" s="305">
        <f t="shared" si="45"/>
        <v>0</v>
      </c>
      <c r="G152" s="299">
        <f t="shared" si="45"/>
        <v>0</v>
      </c>
      <c r="H152" s="300">
        <f t="shared" si="45"/>
        <v>0</v>
      </c>
      <c r="I152" s="305">
        <f t="shared" si="45"/>
        <v>0</v>
      </c>
      <c r="J152" s="306">
        <f t="shared" si="35"/>
        <v>0</v>
      </c>
      <c r="K152" s="299"/>
      <c r="L152" s="300">
        <f t="shared" si="36"/>
        <v>-118551.80514342235</v>
      </c>
      <c r="M152" s="305">
        <f t="shared" si="42"/>
        <v>533272.30975382845</v>
      </c>
      <c r="N152" s="307">
        <f t="shared" si="37"/>
        <v>414720.50461040612</v>
      </c>
      <c r="O152" s="299"/>
      <c r="P152" s="308" t="str">
        <f>Données!AC152</f>
        <v/>
      </c>
      <c r="Q152" s="304" t="str">
        <f>Données!AD152</f>
        <v/>
      </c>
      <c r="R152" s="299">
        <f t="shared" si="40"/>
        <v>0</v>
      </c>
      <c r="S152" s="305">
        <f t="shared" si="41"/>
        <v>0</v>
      </c>
      <c r="T152" s="299">
        <f t="shared" si="43"/>
        <v>89726.020383564508</v>
      </c>
      <c r="U152" s="309">
        <f t="shared" si="38"/>
        <v>89726.020383564508</v>
      </c>
    </row>
    <row r="153" spans="1:21" x14ac:dyDescent="0.25">
      <c r="A153" s="156">
        <f>Données!A153</f>
        <v>5654</v>
      </c>
      <c r="B153" s="157" t="str">
        <f>Données!B153</f>
        <v>Vullierens</v>
      </c>
      <c r="C153" s="304">
        <f>Données!C153</f>
        <v>577</v>
      </c>
      <c r="D153" s="300">
        <f t="shared" si="34"/>
        <v>577</v>
      </c>
      <c r="E153" s="300">
        <f t="shared" si="39"/>
        <v>0</v>
      </c>
      <c r="F153" s="305">
        <f t="shared" si="45"/>
        <v>0</v>
      </c>
      <c r="G153" s="299">
        <f t="shared" si="45"/>
        <v>0</v>
      </c>
      <c r="H153" s="300">
        <f t="shared" si="45"/>
        <v>0</v>
      </c>
      <c r="I153" s="305">
        <f t="shared" si="45"/>
        <v>0</v>
      </c>
      <c r="J153" s="306">
        <f t="shared" si="35"/>
        <v>0</v>
      </c>
      <c r="K153" s="299"/>
      <c r="L153" s="300">
        <f t="shared" si="36"/>
        <v>-77118.81800197823</v>
      </c>
      <c r="M153" s="305">
        <f t="shared" si="42"/>
        <v>346897.54535282869</v>
      </c>
      <c r="N153" s="307">
        <f t="shared" si="37"/>
        <v>269778.72735085047</v>
      </c>
      <c r="O153" s="299"/>
      <c r="P153" s="308" t="str">
        <f>Données!AC153</f>
        <v/>
      </c>
      <c r="Q153" s="304" t="str">
        <f>Données!AD153</f>
        <v/>
      </c>
      <c r="R153" s="299">
        <f t="shared" si="40"/>
        <v>0</v>
      </c>
      <c r="S153" s="305">
        <f t="shared" si="41"/>
        <v>0</v>
      </c>
      <c r="T153" s="299">
        <f t="shared" si="43"/>
        <v>58367.433778260114</v>
      </c>
      <c r="U153" s="309">
        <f t="shared" si="38"/>
        <v>58367.433778260114</v>
      </c>
    </row>
    <row r="154" spans="1:21" x14ac:dyDescent="0.25">
      <c r="A154" s="156">
        <f>Données!A154</f>
        <v>5655</v>
      </c>
      <c r="B154" s="157" t="str">
        <f>Données!B154</f>
        <v>Yens</v>
      </c>
      <c r="C154" s="304">
        <f>Données!C154</f>
        <v>1481</v>
      </c>
      <c r="D154" s="300">
        <f t="shared" si="34"/>
        <v>1000</v>
      </c>
      <c r="E154" s="300">
        <f t="shared" si="39"/>
        <v>481</v>
      </c>
      <c r="F154" s="305">
        <f t="shared" si="45"/>
        <v>0</v>
      </c>
      <c r="G154" s="299">
        <f t="shared" si="45"/>
        <v>0</v>
      </c>
      <c r="H154" s="300">
        <f t="shared" si="45"/>
        <v>0</v>
      </c>
      <c r="I154" s="305">
        <f t="shared" si="45"/>
        <v>0</v>
      </c>
      <c r="J154" s="306">
        <f t="shared" si="35"/>
        <v>0</v>
      </c>
      <c r="K154" s="299"/>
      <c r="L154" s="300">
        <f t="shared" si="36"/>
        <v>-313661.07814045495</v>
      </c>
      <c r="M154" s="305">
        <f t="shared" si="42"/>
        <v>890390.40670284105</v>
      </c>
      <c r="N154" s="307">
        <f t="shared" si="37"/>
        <v>576729.3285623861</v>
      </c>
      <c r="O154" s="299"/>
      <c r="P154" s="308" t="str">
        <f>Données!AC154</f>
        <v/>
      </c>
      <c r="Q154" s="304" t="str">
        <f>Données!AD154</f>
        <v/>
      </c>
      <c r="R154" s="299">
        <f t="shared" si="40"/>
        <v>0</v>
      </c>
      <c r="S154" s="305">
        <f t="shared" si="41"/>
        <v>0</v>
      </c>
      <c r="T154" s="299">
        <f t="shared" si="43"/>
        <v>149813.11858856713</v>
      </c>
      <c r="U154" s="309">
        <f t="shared" si="38"/>
        <v>149813.11858856713</v>
      </c>
    </row>
    <row r="155" spans="1:21" x14ac:dyDescent="0.25">
      <c r="A155" s="156">
        <f>Données!A155</f>
        <v>5656</v>
      </c>
      <c r="B155" s="157" t="str">
        <f>Données!B155</f>
        <v>Hautemorges</v>
      </c>
      <c r="C155" s="304">
        <f>Données!C155</f>
        <v>4426</v>
      </c>
      <c r="D155" s="300">
        <f t="shared" si="34"/>
        <v>1000</v>
      </c>
      <c r="E155" s="300">
        <f t="shared" si="39"/>
        <v>2000</v>
      </c>
      <c r="F155" s="305">
        <f t="shared" si="45"/>
        <v>1426</v>
      </c>
      <c r="G155" s="299">
        <f t="shared" si="45"/>
        <v>0</v>
      </c>
      <c r="H155" s="300">
        <f t="shared" si="45"/>
        <v>0</v>
      </c>
      <c r="I155" s="305">
        <f t="shared" si="45"/>
        <v>0</v>
      </c>
      <c r="J155" s="306">
        <f t="shared" si="35"/>
        <v>0</v>
      </c>
      <c r="K155" s="299"/>
      <c r="L155" s="300">
        <f t="shared" si="36"/>
        <v>-1835080.3659742828</v>
      </c>
      <c r="M155" s="305">
        <f t="shared" si="42"/>
        <v>2660950.6685123392</v>
      </c>
      <c r="N155" s="307">
        <f t="shared" si="37"/>
        <v>825870.30253805639</v>
      </c>
      <c r="O155" s="299"/>
      <c r="P155" s="308" t="str">
        <f>Données!AC155</f>
        <v/>
      </c>
      <c r="Q155" s="304" t="str">
        <f>Données!AD155</f>
        <v/>
      </c>
      <c r="R155" s="299">
        <f t="shared" si="40"/>
        <v>0</v>
      </c>
      <c r="S155" s="305">
        <f t="shared" si="41"/>
        <v>0</v>
      </c>
      <c r="T155" s="299">
        <f t="shared" si="43"/>
        <v>447719.69133895886</v>
      </c>
      <c r="U155" s="309">
        <f t="shared" si="38"/>
        <v>447719.69133895886</v>
      </c>
    </row>
    <row r="156" spans="1:21" x14ac:dyDescent="0.25">
      <c r="A156" s="156">
        <f>Données!A156</f>
        <v>5661</v>
      </c>
      <c r="B156" s="157" t="str">
        <f>Données!B156</f>
        <v>Boulens</v>
      </c>
      <c r="C156" s="304">
        <f>Données!C156</f>
        <v>371</v>
      </c>
      <c r="D156" s="300">
        <f t="shared" si="34"/>
        <v>371</v>
      </c>
      <c r="E156" s="300">
        <f t="shared" si="39"/>
        <v>0</v>
      </c>
      <c r="F156" s="305">
        <f t="shared" si="45"/>
        <v>0</v>
      </c>
      <c r="G156" s="299">
        <f t="shared" si="45"/>
        <v>0</v>
      </c>
      <c r="H156" s="300">
        <f t="shared" si="45"/>
        <v>0</v>
      </c>
      <c r="I156" s="305">
        <f t="shared" si="45"/>
        <v>0</v>
      </c>
      <c r="J156" s="306">
        <f t="shared" si="35"/>
        <v>0</v>
      </c>
      <c r="K156" s="299"/>
      <c r="L156" s="300">
        <f t="shared" si="36"/>
        <v>-49585.929772502473</v>
      </c>
      <c r="M156" s="305">
        <f t="shared" si="42"/>
        <v>223048.50836377719</v>
      </c>
      <c r="N156" s="307">
        <f t="shared" si="37"/>
        <v>173462.57859127471</v>
      </c>
      <c r="O156" s="299"/>
      <c r="P156" s="308" t="str">
        <f>Données!AC156</f>
        <v/>
      </c>
      <c r="Q156" s="304" t="str">
        <f>Données!AD156</f>
        <v/>
      </c>
      <c r="R156" s="299">
        <f t="shared" si="40"/>
        <v>0</v>
      </c>
      <c r="S156" s="305">
        <f t="shared" si="41"/>
        <v>0</v>
      </c>
      <c r="T156" s="299">
        <f t="shared" si="43"/>
        <v>37529.147195380421</v>
      </c>
      <c r="U156" s="309">
        <f t="shared" si="38"/>
        <v>37529.147195380421</v>
      </c>
    </row>
    <row r="157" spans="1:21" x14ac:dyDescent="0.25">
      <c r="A157" s="156">
        <f>Données!A157</f>
        <v>5663</v>
      </c>
      <c r="B157" s="157" t="str">
        <f>Données!B157</f>
        <v>Bussy-sur-Moudon</v>
      </c>
      <c r="C157" s="304">
        <f>Données!C157</f>
        <v>267</v>
      </c>
      <c r="D157" s="300">
        <f t="shared" si="34"/>
        <v>267</v>
      </c>
      <c r="E157" s="300">
        <f t="shared" si="39"/>
        <v>0</v>
      </c>
      <c r="F157" s="305">
        <f t="shared" ref="F157:I165" si="46">IF($C157&lt;F$4,0,IF($C157&gt;F$5,F$5-F$4,$C157-F$4))</f>
        <v>0</v>
      </c>
      <c r="G157" s="299">
        <f t="shared" si="46"/>
        <v>0</v>
      </c>
      <c r="H157" s="300">
        <f t="shared" si="46"/>
        <v>0</v>
      </c>
      <c r="I157" s="305">
        <f t="shared" si="46"/>
        <v>0</v>
      </c>
      <c r="J157" s="306">
        <f t="shared" si="35"/>
        <v>0</v>
      </c>
      <c r="K157" s="299"/>
      <c r="L157" s="300">
        <f t="shared" si="36"/>
        <v>-35685.830860534123</v>
      </c>
      <c r="M157" s="305">
        <f t="shared" si="42"/>
        <v>160522.78095182887</v>
      </c>
      <c r="N157" s="307">
        <f t="shared" si="37"/>
        <v>124836.95009129474</v>
      </c>
      <c r="O157" s="299"/>
      <c r="P157" s="308" t="str">
        <f>Données!AC157</f>
        <v/>
      </c>
      <c r="Q157" s="304" t="str">
        <f>Données!AD157</f>
        <v/>
      </c>
      <c r="R157" s="299">
        <f t="shared" si="40"/>
        <v>0</v>
      </c>
      <c r="S157" s="305">
        <f t="shared" si="41"/>
        <v>0</v>
      </c>
      <c r="T157" s="299">
        <f t="shared" si="43"/>
        <v>27008.84717295572</v>
      </c>
      <c r="U157" s="309">
        <f t="shared" si="38"/>
        <v>27008.84717295572</v>
      </c>
    </row>
    <row r="158" spans="1:21" x14ac:dyDescent="0.25">
      <c r="A158" s="156">
        <f>Données!A158</f>
        <v>5665</v>
      </c>
      <c r="B158" s="157" t="str">
        <f>Données!B158</f>
        <v>Chavannes-sur-Moudon</v>
      </c>
      <c r="C158" s="304">
        <f>Données!C158</f>
        <v>232</v>
      </c>
      <c r="D158" s="300">
        <f t="shared" si="34"/>
        <v>232</v>
      </c>
      <c r="E158" s="300">
        <f t="shared" si="39"/>
        <v>0</v>
      </c>
      <c r="F158" s="305">
        <f t="shared" si="46"/>
        <v>0</v>
      </c>
      <c r="G158" s="299">
        <f t="shared" si="46"/>
        <v>0</v>
      </c>
      <c r="H158" s="300">
        <f t="shared" si="46"/>
        <v>0</v>
      </c>
      <c r="I158" s="305">
        <f t="shared" si="46"/>
        <v>0</v>
      </c>
      <c r="J158" s="306">
        <f t="shared" si="35"/>
        <v>0</v>
      </c>
      <c r="K158" s="299"/>
      <c r="L158" s="300">
        <f t="shared" si="36"/>
        <v>-31007.912957467852</v>
      </c>
      <c r="M158" s="305">
        <f t="shared" si="42"/>
        <v>139480.46884203856</v>
      </c>
      <c r="N158" s="307">
        <f t="shared" si="37"/>
        <v>108472.55588457071</v>
      </c>
      <c r="O158" s="299"/>
      <c r="P158" s="308" t="str">
        <f>Données!AC158</f>
        <v/>
      </c>
      <c r="Q158" s="304" t="str">
        <f>Données!AD158</f>
        <v/>
      </c>
      <c r="R158" s="299">
        <f t="shared" si="40"/>
        <v>0</v>
      </c>
      <c r="S158" s="305">
        <f t="shared" si="41"/>
        <v>0</v>
      </c>
      <c r="T158" s="299">
        <f t="shared" si="43"/>
        <v>23468.36158848587</v>
      </c>
      <c r="U158" s="309">
        <f t="shared" si="38"/>
        <v>23468.36158848587</v>
      </c>
    </row>
    <row r="159" spans="1:21" x14ac:dyDescent="0.25">
      <c r="A159" s="156">
        <f>Données!A159</f>
        <v>5671</v>
      </c>
      <c r="B159" s="157" t="str">
        <f>Données!B159</f>
        <v>Dompierre</v>
      </c>
      <c r="C159" s="304">
        <f>Données!C159</f>
        <v>242</v>
      </c>
      <c r="D159" s="300">
        <f t="shared" si="34"/>
        <v>242</v>
      </c>
      <c r="E159" s="300">
        <f t="shared" si="39"/>
        <v>0</v>
      </c>
      <c r="F159" s="305">
        <f t="shared" si="46"/>
        <v>0</v>
      </c>
      <c r="G159" s="299">
        <f t="shared" si="46"/>
        <v>0</v>
      </c>
      <c r="H159" s="300">
        <f t="shared" si="46"/>
        <v>0</v>
      </c>
      <c r="I159" s="305">
        <f t="shared" si="46"/>
        <v>0</v>
      </c>
      <c r="J159" s="306">
        <f t="shared" si="35"/>
        <v>0</v>
      </c>
      <c r="K159" s="299"/>
      <c r="L159" s="300">
        <f t="shared" si="36"/>
        <v>-32344.4609297725</v>
      </c>
      <c r="M159" s="305">
        <f t="shared" si="42"/>
        <v>145492.55801626437</v>
      </c>
      <c r="N159" s="307">
        <f t="shared" si="37"/>
        <v>113148.09708649188</v>
      </c>
      <c r="O159" s="299"/>
      <c r="P159" s="308" t="str">
        <f>Données!AC159</f>
        <v/>
      </c>
      <c r="Q159" s="304" t="str">
        <f>Données!AD159</f>
        <v/>
      </c>
      <c r="R159" s="299">
        <f t="shared" si="40"/>
        <v>0</v>
      </c>
      <c r="S159" s="305">
        <f t="shared" si="41"/>
        <v>0</v>
      </c>
      <c r="T159" s="299">
        <f t="shared" si="43"/>
        <v>24479.928898334398</v>
      </c>
      <c r="U159" s="309">
        <f t="shared" si="38"/>
        <v>24479.928898334398</v>
      </c>
    </row>
    <row r="160" spans="1:21" x14ac:dyDescent="0.25">
      <c r="A160" s="156">
        <f>Données!A160</f>
        <v>5673</v>
      </c>
      <c r="B160" s="157" t="str">
        <f>Données!B160</f>
        <v>Hermenches</v>
      </c>
      <c r="C160" s="304">
        <f>Données!C160</f>
        <v>364</v>
      </c>
      <c r="D160" s="300">
        <f t="shared" si="34"/>
        <v>364</v>
      </c>
      <c r="E160" s="300">
        <f t="shared" si="39"/>
        <v>0</v>
      </c>
      <c r="F160" s="305">
        <f t="shared" si="46"/>
        <v>0</v>
      </c>
      <c r="G160" s="299">
        <f t="shared" si="46"/>
        <v>0</v>
      </c>
      <c r="H160" s="300">
        <f t="shared" si="46"/>
        <v>0</v>
      </c>
      <c r="I160" s="305">
        <f t="shared" si="46"/>
        <v>0</v>
      </c>
      <c r="J160" s="306">
        <f t="shared" si="35"/>
        <v>0</v>
      </c>
      <c r="K160" s="299"/>
      <c r="L160" s="300">
        <f t="shared" si="36"/>
        <v>-48650.346191889214</v>
      </c>
      <c r="M160" s="305">
        <f t="shared" si="42"/>
        <v>218840.04594181915</v>
      </c>
      <c r="N160" s="307">
        <f t="shared" si="37"/>
        <v>170189.69974992995</v>
      </c>
      <c r="O160" s="299"/>
      <c r="P160" s="308" t="str">
        <f>Données!AC160</f>
        <v/>
      </c>
      <c r="Q160" s="304" t="str">
        <f>Données!AD160</f>
        <v/>
      </c>
      <c r="R160" s="299">
        <f t="shared" si="40"/>
        <v>0</v>
      </c>
      <c r="S160" s="305">
        <f t="shared" si="41"/>
        <v>0</v>
      </c>
      <c r="T160" s="299">
        <f t="shared" si="43"/>
        <v>36821.050078486449</v>
      </c>
      <c r="U160" s="309">
        <f t="shared" si="38"/>
        <v>36821.050078486449</v>
      </c>
    </row>
    <row r="161" spans="1:21" x14ac:dyDescent="0.25">
      <c r="A161" s="156">
        <f>Données!A161</f>
        <v>5674</v>
      </c>
      <c r="B161" s="157" t="str">
        <f>Données!B161</f>
        <v>Lovatens</v>
      </c>
      <c r="C161" s="304">
        <f>Données!C161</f>
        <v>152</v>
      </c>
      <c r="D161" s="300">
        <f t="shared" si="34"/>
        <v>152</v>
      </c>
      <c r="E161" s="300">
        <f t="shared" si="39"/>
        <v>0</v>
      </c>
      <c r="F161" s="305">
        <f t="shared" si="46"/>
        <v>0</v>
      </c>
      <c r="G161" s="299">
        <f t="shared" si="46"/>
        <v>0</v>
      </c>
      <c r="H161" s="300">
        <f t="shared" si="46"/>
        <v>0</v>
      </c>
      <c r="I161" s="305">
        <f t="shared" si="46"/>
        <v>0</v>
      </c>
      <c r="J161" s="306">
        <f t="shared" si="35"/>
        <v>0</v>
      </c>
      <c r="K161" s="299"/>
      <c r="L161" s="300">
        <f t="shared" si="36"/>
        <v>-20315.529179030662</v>
      </c>
      <c r="M161" s="305">
        <f t="shared" si="42"/>
        <v>91383.755448232172</v>
      </c>
      <c r="N161" s="307">
        <f t="shared" si="37"/>
        <v>71068.226269201507</v>
      </c>
      <c r="O161" s="299"/>
      <c r="P161" s="308" t="str">
        <f>Données!AC161</f>
        <v/>
      </c>
      <c r="Q161" s="304" t="str">
        <f>Données!AD161</f>
        <v/>
      </c>
      <c r="R161" s="299">
        <f t="shared" si="40"/>
        <v>0</v>
      </c>
      <c r="S161" s="305">
        <f t="shared" si="41"/>
        <v>0</v>
      </c>
      <c r="T161" s="299">
        <f t="shared" si="43"/>
        <v>15375.823109697638</v>
      </c>
      <c r="U161" s="309">
        <f t="shared" si="38"/>
        <v>15375.823109697638</v>
      </c>
    </row>
    <row r="162" spans="1:21" x14ac:dyDescent="0.25">
      <c r="A162" s="156">
        <f>Données!A162</f>
        <v>5675</v>
      </c>
      <c r="B162" s="157" t="str">
        <f>Données!B162</f>
        <v>Lucens</v>
      </c>
      <c r="C162" s="304">
        <f>Données!C162</f>
        <v>5194</v>
      </c>
      <c r="D162" s="300">
        <f t="shared" si="34"/>
        <v>1000</v>
      </c>
      <c r="E162" s="300">
        <f t="shared" si="39"/>
        <v>2000</v>
      </c>
      <c r="F162" s="305">
        <f t="shared" si="46"/>
        <v>2194</v>
      </c>
      <c r="G162" s="299">
        <f t="shared" si="46"/>
        <v>0</v>
      </c>
      <c r="H162" s="300">
        <f t="shared" si="46"/>
        <v>0</v>
      </c>
      <c r="I162" s="305">
        <f t="shared" si="46"/>
        <v>0</v>
      </c>
      <c r="J162" s="306">
        <f t="shared" si="35"/>
        <v>0</v>
      </c>
      <c r="K162" s="299"/>
      <c r="L162" s="300">
        <f t="shared" si="36"/>
        <v>-2348314.7873392683</v>
      </c>
      <c r="M162" s="305">
        <f t="shared" si="42"/>
        <v>3122679.1170928809</v>
      </c>
      <c r="N162" s="307">
        <f t="shared" si="37"/>
        <v>774364.32975361263</v>
      </c>
      <c r="O162" s="299"/>
      <c r="P162" s="308" t="str">
        <f>Données!AC162</f>
        <v/>
      </c>
      <c r="Q162" s="304" t="str">
        <f>Données!AD162</f>
        <v/>
      </c>
      <c r="R162" s="299">
        <f t="shared" si="40"/>
        <v>0</v>
      </c>
      <c r="S162" s="305">
        <f t="shared" si="41"/>
        <v>0</v>
      </c>
      <c r="T162" s="299">
        <f t="shared" si="43"/>
        <v>525408.06073532591</v>
      </c>
      <c r="U162" s="309">
        <f t="shared" si="38"/>
        <v>525408.06073532591</v>
      </c>
    </row>
    <row r="163" spans="1:21" x14ac:dyDescent="0.25">
      <c r="A163" s="156">
        <f>Données!A163</f>
        <v>5678</v>
      </c>
      <c r="B163" s="157" t="str">
        <f>Données!B163</f>
        <v>Moudon</v>
      </c>
      <c r="C163" s="304">
        <f>Données!C163</f>
        <v>6847</v>
      </c>
      <c r="D163" s="300">
        <f t="shared" si="34"/>
        <v>1000</v>
      </c>
      <c r="E163" s="300">
        <f t="shared" si="39"/>
        <v>2000</v>
      </c>
      <c r="F163" s="305">
        <f t="shared" si="46"/>
        <v>3847</v>
      </c>
      <c r="G163" s="299">
        <f t="shared" si="46"/>
        <v>0</v>
      </c>
      <c r="H163" s="300">
        <f t="shared" si="46"/>
        <v>0</v>
      </c>
      <c r="I163" s="305">
        <f t="shared" si="46"/>
        <v>0</v>
      </c>
      <c r="J163" s="306">
        <f t="shared" si="35"/>
        <v>0</v>
      </c>
      <c r="K163" s="299"/>
      <c r="L163" s="300">
        <f t="shared" si="36"/>
        <v>-3452971.6864490602</v>
      </c>
      <c r="M163" s="305">
        <f t="shared" si="42"/>
        <v>4116477.4575924054</v>
      </c>
      <c r="N163" s="307">
        <f t="shared" si="37"/>
        <v>663505.77114334516</v>
      </c>
      <c r="O163" s="299"/>
      <c r="P163" s="308" t="str">
        <f>Données!AC163</f>
        <v/>
      </c>
      <c r="Q163" s="304" t="str">
        <f>Données!AD163</f>
        <v/>
      </c>
      <c r="R163" s="299">
        <f t="shared" si="40"/>
        <v>0</v>
      </c>
      <c r="S163" s="305">
        <f t="shared" si="41"/>
        <v>0</v>
      </c>
      <c r="T163" s="299">
        <f t="shared" si="43"/>
        <v>692620.1370532877</v>
      </c>
      <c r="U163" s="309">
        <f t="shared" si="38"/>
        <v>692620.1370532877</v>
      </c>
    </row>
    <row r="164" spans="1:21" x14ac:dyDescent="0.25">
      <c r="A164" s="156">
        <f>Données!A164</f>
        <v>5680</v>
      </c>
      <c r="B164" s="157" t="str">
        <f>Données!B164</f>
        <v>Ogens</v>
      </c>
      <c r="C164" s="304">
        <f>Données!C164</f>
        <v>342</v>
      </c>
      <c r="D164" s="300">
        <f t="shared" si="34"/>
        <v>342</v>
      </c>
      <c r="E164" s="300">
        <f t="shared" si="39"/>
        <v>0</v>
      </c>
      <c r="F164" s="305">
        <f t="shared" si="46"/>
        <v>0</v>
      </c>
      <c r="G164" s="299">
        <f t="shared" si="46"/>
        <v>0</v>
      </c>
      <c r="H164" s="300">
        <f t="shared" si="46"/>
        <v>0</v>
      </c>
      <c r="I164" s="305">
        <f t="shared" si="46"/>
        <v>0</v>
      </c>
      <c r="J164" s="306">
        <f t="shared" si="35"/>
        <v>0</v>
      </c>
      <c r="K164" s="299"/>
      <c r="L164" s="300">
        <f t="shared" si="36"/>
        <v>-45709.940652818987</v>
      </c>
      <c r="M164" s="305">
        <f t="shared" si="42"/>
        <v>205613.44975852239</v>
      </c>
      <c r="N164" s="307">
        <f t="shared" si="37"/>
        <v>159903.50910570339</v>
      </c>
      <c r="O164" s="299"/>
      <c r="P164" s="308" t="str">
        <f>Données!AC164</f>
        <v/>
      </c>
      <c r="Q164" s="304" t="str">
        <f>Données!AD164</f>
        <v/>
      </c>
      <c r="R164" s="299">
        <f t="shared" si="40"/>
        <v>0</v>
      </c>
      <c r="S164" s="305">
        <f t="shared" si="41"/>
        <v>0</v>
      </c>
      <c r="T164" s="299">
        <f t="shared" si="43"/>
        <v>34595.601996819685</v>
      </c>
      <c r="U164" s="309">
        <f t="shared" si="38"/>
        <v>34595.601996819685</v>
      </c>
    </row>
    <row r="165" spans="1:21" x14ac:dyDescent="0.25">
      <c r="A165" s="156">
        <f>Données!A165</f>
        <v>5683</v>
      </c>
      <c r="B165" s="157" t="str">
        <f>Données!B165</f>
        <v>Prévonloup</v>
      </c>
      <c r="C165" s="304">
        <f>Données!C165</f>
        <v>249</v>
      </c>
      <c r="D165" s="300">
        <f t="shared" si="34"/>
        <v>249</v>
      </c>
      <c r="E165" s="300">
        <f t="shared" si="39"/>
        <v>0</v>
      </c>
      <c r="F165" s="305">
        <f t="shared" si="46"/>
        <v>0</v>
      </c>
      <c r="G165" s="299">
        <f t="shared" si="46"/>
        <v>0</v>
      </c>
      <c r="H165" s="300">
        <f t="shared" si="46"/>
        <v>0</v>
      </c>
      <c r="I165" s="305">
        <f t="shared" si="46"/>
        <v>0</v>
      </c>
      <c r="J165" s="306">
        <f t="shared" si="35"/>
        <v>0</v>
      </c>
      <c r="K165" s="299"/>
      <c r="L165" s="300">
        <f t="shared" si="36"/>
        <v>-33280.044510385756</v>
      </c>
      <c r="M165" s="305">
        <f t="shared" si="42"/>
        <v>149701.02043822242</v>
      </c>
      <c r="N165" s="307">
        <f t="shared" si="37"/>
        <v>116420.97592783667</v>
      </c>
      <c r="O165" s="299"/>
      <c r="P165" s="308" t="str">
        <f>Données!AC165</f>
        <v/>
      </c>
      <c r="Q165" s="304" t="str">
        <f>Données!AD165</f>
        <v/>
      </c>
      <c r="R165" s="299">
        <f t="shared" si="40"/>
        <v>0</v>
      </c>
      <c r="S165" s="305">
        <f t="shared" si="41"/>
        <v>0</v>
      </c>
      <c r="T165" s="299">
        <f t="shared" si="43"/>
        <v>25188.02601522837</v>
      </c>
      <c r="U165" s="309">
        <f t="shared" si="38"/>
        <v>25188.02601522837</v>
      </c>
    </row>
    <row r="166" spans="1:21" x14ac:dyDescent="0.25">
      <c r="A166" s="156">
        <f>Données!A166</f>
        <v>5684</v>
      </c>
      <c r="B166" s="157" t="str">
        <f>Données!B166</f>
        <v>Rossenges</v>
      </c>
      <c r="C166" s="304">
        <f>Données!C166</f>
        <v>82</v>
      </c>
      <c r="D166" s="300">
        <f t="shared" si="34"/>
        <v>82</v>
      </c>
      <c r="E166" s="300">
        <f t="shared" si="39"/>
        <v>0</v>
      </c>
      <c r="F166" s="305">
        <f t="shared" ref="F166:I175" si="47">IF($C166&lt;F$4,0,IF($C166&gt;F$5,F$5-F$4,$C166-F$4))</f>
        <v>0</v>
      </c>
      <c r="G166" s="299">
        <f t="shared" si="47"/>
        <v>0</v>
      </c>
      <c r="H166" s="300">
        <f t="shared" si="47"/>
        <v>0</v>
      </c>
      <c r="I166" s="305">
        <f t="shared" si="47"/>
        <v>0</v>
      </c>
      <c r="J166" s="306">
        <f t="shared" si="35"/>
        <v>0</v>
      </c>
      <c r="K166" s="299"/>
      <c r="L166" s="300">
        <f t="shared" si="36"/>
        <v>-10959.69337289812</v>
      </c>
      <c r="M166" s="305">
        <f t="shared" si="42"/>
        <v>49299.13122865156</v>
      </c>
      <c r="N166" s="307">
        <f t="shared" si="37"/>
        <v>38339.437855753436</v>
      </c>
      <c r="O166" s="299"/>
      <c r="P166" s="308" t="str">
        <f>Données!AC166</f>
        <v/>
      </c>
      <c r="Q166" s="304" t="str">
        <f>Données!AD166</f>
        <v/>
      </c>
      <c r="R166" s="299">
        <f t="shared" si="40"/>
        <v>0</v>
      </c>
      <c r="S166" s="305">
        <f t="shared" si="41"/>
        <v>0</v>
      </c>
      <c r="T166" s="299">
        <f t="shared" si="43"/>
        <v>8294.851940757937</v>
      </c>
      <c r="U166" s="309">
        <f t="shared" si="38"/>
        <v>8294.851940757937</v>
      </c>
    </row>
    <row r="167" spans="1:21" x14ac:dyDescent="0.25">
      <c r="A167" s="156">
        <f>Données!A167</f>
        <v>5688</v>
      </c>
      <c r="B167" s="157" t="str">
        <f>Données!B167</f>
        <v>Syens</v>
      </c>
      <c r="C167" s="304">
        <f>Données!C167</f>
        <v>144</v>
      </c>
      <c r="D167" s="300">
        <f t="shared" si="34"/>
        <v>144</v>
      </c>
      <c r="E167" s="300">
        <f t="shared" si="39"/>
        <v>0</v>
      </c>
      <c r="F167" s="305">
        <f t="shared" si="47"/>
        <v>0</v>
      </c>
      <c r="G167" s="299">
        <f t="shared" si="47"/>
        <v>0</v>
      </c>
      <c r="H167" s="300">
        <f t="shared" si="47"/>
        <v>0</v>
      </c>
      <c r="I167" s="305">
        <f t="shared" si="47"/>
        <v>0</v>
      </c>
      <c r="J167" s="306">
        <f t="shared" si="35"/>
        <v>0</v>
      </c>
      <c r="K167" s="299"/>
      <c r="L167" s="300">
        <f t="shared" si="36"/>
        <v>-19246.290801186944</v>
      </c>
      <c r="M167" s="305">
        <f t="shared" si="42"/>
        <v>86574.08410885153</v>
      </c>
      <c r="N167" s="307">
        <f t="shared" si="37"/>
        <v>67327.793307664586</v>
      </c>
      <c r="O167" s="299"/>
      <c r="P167" s="308" t="str">
        <f>Données!AC167</f>
        <v/>
      </c>
      <c r="Q167" s="304" t="str">
        <f>Données!AD167</f>
        <v/>
      </c>
      <c r="R167" s="299">
        <f t="shared" si="40"/>
        <v>0</v>
      </c>
      <c r="S167" s="305">
        <f t="shared" si="41"/>
        <v>0</v>
      </c>
      <c r="T167" s="299">
        <f t="shared" si="43"/>
        <v>14566.569261818815</v>
      </c>
      <c r="U167" s="309">
        <f t="shared" si="38"/>
        <v>14566.569261818815</v>
      </c>
    </row>
    <row r="168" spans="1:21" x14ac:dyDescent="0.25">
      <c r="A168" s="156">
        <f>Données!A168</f>
        <v>5690</v>
      </c>
      <c r="B168" s="157" t="str">
        <f>Données!B168</f>
        <v>Villars-le-Comte</v>
      </c>
      <c r="C168" s="304">
        <f>Données!C168</f>
        <v>129</v>
      </c>
      <c r="D168" s="300">
        <f t="shared" si="34"/>
        <v>129</v>
      </c>
      <c r="E168" s="300">
        <f t="shared" si="39"/>
        <v>0</v>
      </c>
      <c r="F168" s="305">
        <f t="shared" si="47"/>
        <v>0</v>
      </c>
      <c r="G168" s="299">
        <f t="shared" si="47"/>
        <v>0</v>
      </c>
      <c r="H168" s="300">
        <f t="shared" si="47"/>
        <v>0</v>
      </c>
      <c r="I168" s="305">
        <f t="shared" si="47"/>
        <v>0</v>
      </c>
      <c r="J168" s="306">
        <f t="shared" si="35"/>
        <v>0</v>
      </c>
      <c r="K168" s="299"/>
      <c r="L168" s="300">
        <f t="shared" si="36"/>
        <v>-17241.46884272997</v>
      </c>
      <c r="M168" s="305">
        <f t="shared" si="42"/>
        <v>77555.950347512829</v>
      </c>
      <c r="N168" s="307">
        <f t="shared" si="37"/>
        <v>60314.48150478286</v>
      </c>
      <c r="O168" s="299"/>
      <c r="P168" s="308" t="str">
        <f>Données!AC168</f>
        <v/>
      </c>
      <c r="Q168" s="304" t="str">
        <f>Données!AD168</f>
        <v/>
      </c>
      <c r="R168" s="299">
        <f t="shared" si="40"/>
        <v>0</v>
      </c>
      <c r="S168" s="305">
        <f t="shared" si="41"/>
        <v>0</v>
      </c>
      <c r="T168" s="299">
        <f t="shared" si="43"/>
        <v>13049.218297046022</v>
      </c>
      <c r="U168" s="309">
        <f t="shared" si="38"/>
        <v>13049.218297046022</v>
      </c>
    </row>
    <row r="169" spans="1:21" x14ac:dyDescent="0.25">
      <c r="A169" s="156">
        <f>Données!A169</f>
        <v>5692</v>
      </c>
      <c r="B169" s="157" t="str">
        <f>Données!B169</f>
        <v>Vucherens</v>
      </c>
      <c r="C169" s="304">
        <f>Données!C169</f>
        <v>634</v>
      </c>
      <c r="D169" s="300">
        <f t="shared" si="34"/>
        <v>634</v>
      </c>
      <c r="E169" s="300">
        <f t="shared" si="39"/>
        <v>0</v>
      </c>
      <c r="F169" s="305">
        <f t="shared" si="47"/>
        <v>0</v>
      </c>
      <c r="G169" s="299">
        <f t="shared" si="47"/>
        <v>0</v>
      </c>
      <c r="H169" s="300">
        <f t="shared" si="47"/>
        <v>0</v>
      </c>
      <c r="I169" s="305">
        <f t="shared" si="47"/>
        <v>0</v>
      </c>
      <c r="J169" s="306">
        <f t="shared" si="35"/>
        <v>0</v>
      </c>
      <c r="K169" s="299"/>
      <c r="L169" s="300">
        <f t="shared" si="36"/>
        <v>-84737.141444114735</v>
      </c>
      <c r="M169" s="305">
        <f t="shared" si="42"/>
        <v>381166.45364591572</v>
      </c>
      <c r="N169" s="307">
        <f t="shared" si="37"/>
        <v>296429.31220180099</v>
      </c>
      <c r="O169" s="299"/>
      <c r="P169" s="308" t="str">
        <f>Données!AC169</f>
        <v/>
      </c>
      <c r="Q169" s="304" t="str">
        <f>Données!AD169</f>
        <v/>
      </c>
      <c r="R169" s="299">
        <f t="shared" si="40"/>
        <v>0</v>
      </c>
      <c r="S169" s="305">
        <f t="shared" si="41"/>
        <v>0</v>
      </c>
      <c r="T169" s="299">
        <f t="shared" si="43"/>
        <v>64133.367444396732</v>
      </c>
      <c r="U169" s="309">
        <f t="shared" si="38"/>
        <v>64133.367444396732</v>
      </c>
    </row>
    <row r="170" spans="1:21" x14ac:dyDescent="0.25">
      <c r="A170" s="156">
        <f>Données!A170</f>
        <v>5693</v>
      </c>
      <c r="B170" s="157" t="str">
        <f>Données!B170</f>
        <v>Montanaire</v>
      </c>
      <c r="C170" s="304">
        <f>Données!C170</f>
        <v>2856</v>
      </c>
      <c r="D170" s="300">
        <f t="shared" si="34"/>
        <v>1000</v>
      </c>
      <c r="E170" s="300">
        <f t="shared" si="39"/>
        <v>1856</v>
      </c>
      <c r="F170" s="305">
        <f t="shared" si="47"/>
        <v>0</v>
      </c>
      <c r="G170" s="299">
        <f t="shared" si="47"/>
        <v>0</v>
      </c>
      <c r="H170" s="300">
        <f t="shared" si="47"/>
        <v>0</v>
      </c>
      <c r="I170" s="305">
        <f t="shared" si="47"/>
        <v>0</v>
      </c>
      <c r="J170" s="306">
        <f t="shared" si="35"/>
        <v>0</v>
      </c>
      <c r="K170" s="299"/>
      <c r="L170" s="300">
        <f t="shared" si="36"/>
        <v>-828232.04747774475</v>
      </c>
      <c r="M170" s="305">
        <f t="shared" si="42"/>
        <v>1717052.6681588886</v>
      </c>
      <c r="N170" s="307">
        <f t="shared" si="37"/>
        <v>888820.62068114383</v>
      </c>
      <c r="O170" s="299"/>
      <c r="P170" s="308" t="str">
        <f>Données!AC170</f>
        <v/>
      </c>
      <c r="Q170" s="304" t="str">
        <f>Données!AD170</f>
        <v/>
      </c>
      <c r="R170" s="299">
        <f t="shared" si="40"/>
        <v>0</v>
      </c>
      <c r="S170" s="305">
        <f t="shared" si="41"/>
        <v>0</v>
      </c>
      <c r="T170" s="299">
        <f t="shared" si="43"/>
        <v>288903.62369273981</v>
      </c>
      <c r="U170" s="309">
        <f t="shared" si="38"/>
        <v>288903.62369273981</v>
      </c>
    </row>
    <row r="171" spans="1:21" x14ac:dyDescent="0.25">
      <c r="A171" s="156">
        <f>Données!A171</f>
        <v>5701</v>
      </c>
      <c r="B171" s="157" t="str">
        <f>Données!B171</f>
        <v>Arnex-sur-Nyon</v>
      </c>
      <c r="C171" s="304">
        <f>Données!C171</f>
        <v>274</v>
      </c>
      <c r="D171" s="300">
        <f t="shared" si="34"/>
        <v>274</v>
      </c>
      <c r="E171" s="300">
        <f t="shared" si="39"/>
        <v>0</v>
      </c>
      <c r="F171" s="305">
        <f t="shared" si="47"/>
        <v>0</v>
      </c>
      <c r="G171" s="299">
        <f t="shared" si="47"/>
        <v>0</v>
      </c>
      <c r="H171" s="300">
        <f t="shared" si="47"/>
        <v>0</v>
      </c>
      <c r="I171" s="305">
        <f t="shared" si="47"/>
        <v>0</v>
      </c>
      <c r="J171" s="306">
        <f t="shared" si="35"/>
        <v>0</v>
      </c>
      <c r="K171" s="299"/>
      <c r="L171" s="300">
        <f t="shared" si="36"/>
        <v>-36621.414441147375</v>
      </c>
      <c r="M171" s="305">
        <f t="shared" si="42"/>
        <v>164731.24337378694</v>
      </c>
      <c r="N171" s="307">
        <f t="shared" si="37"/>
        <v>128109.82893263956</v>
      </c>
      <c r="O171" s="299"/>
      <c r="P171" s="308" t="str">
        <f>Données!AC171</f>
        <v/>
      </c>
      <c r="Q171" s="304" t="str">
        <f>Données!AD171</f>
        <v/>
      </c>
      <c r="R171" s="299">
        <f t="shared" si="40"/>
        <v>0</v>
      </c>
      <c r="S171" s="305">
        <f t="shared" si="41"/>
        <v>0</v>
      </c>
      <c r="T171" s="299">
        <f t="shared" si="43"/>
        <v>27716.944289849689</v>
      </c>
      <c r="U171" s="309">
        <f t="shared" si="38"/>
        <v>27716.944289849689</v>
      </c>
    </row>
    <row r="172" spans="1:21" x14ac:dyDescent="0.25">
      <c r="A172" s="156">
        <f>Données!A172</f>
        <v>5702</v>
      </c>
      <c r="B172" s="157" t="str">
        <f>Données!B172</f>
        <v>Arzier-Le Muids</v>
      </c>
      <c r="C172" s="304">
        <f>Données!C172</f>
        <v>2999</v>
      </c>
      <c r="D172" s="300">
        <f t="shared" si="34"/>
        <v>1000</v>
      </c>
      <c r="E172" s="300">
        <f t="shared" si="39"/>
        <v>1999</v>
      </c>
      <c r="F172" s="305">
        <f t="shared" si="47"/>
        <v>0</v>
      </c>
      <c r="G172" s="299">
        <f t="shared" si="47"/>
        <v>0</v>
      </c>
      <c r="H172" s="300">
        <f t="shared" si="47"/>
        <v>0</v>
      </c>
      <c r="I172" s="305">
        <f t="shared" si="47"/>
        <v>0</v>
      </c>
      <c r="J172" s="306">
        <f t="shared" si="35"/>
        <v>0</v>
      </c>
      <c r="K172" s="299"/>
      <c r="L172" s="300">
        <f t="shared" si="36"/>
        <v>-881747.42828882299</v>
      </c>
      <c r="M172" s="305">
        <f t="shared" si="42"/>
        <v>1803025.5433503175</v>
      </c>
      <c r="N172" s="307">
        <f t="shared" si="37"/>
        <v>921278.11506149452</v>
      </c>
      <c r="O172" s="299"/>
      <c r="P172" s="308" t="str">
        <f>Données!AC172</f>
        <v/>
      </c>
      <c r="Q172" s="304" t="str">
        <f>Données!AD172</f>
        <v/>
      </c>
      <c r="R172" s="299">
        <f t="shared" si="40"/>
        <v>0</v>
      </c>
      <c r="S172" s="305">
        <f t="shared" si="41"/>
        <v>0</v>
      </c>
      <c r="T172" s="299">
        <f t="shared" si="43"/>
        <v>303369.03622357378</v>
      </c>
      <c r="U172" s="309">
        <f t="shared" si="38"/>
        <v>303369.03622357378</v>
      </c>
    </row>
    <row r="173" spans="1:21" x14ac:dyDescent="0.25">
      <c r="A173" s="156">
        <f>Données!A173</f>
        <v>5703</v>
      </c>
      <c r="B173" s="157" t="str">
        <f>Données!B173</f>
        <v>Bassins</v>
      </c>
      <c r="C173" s="304">
        <f>Données!C173</f>
        <v>1468</v>
      </c>
      <c r="D173" s="300">
        <f t="shared" si="34"/>
        <v>1000</v>
      </c>
      <c r="E173" s="300">
        <f t="shared" si="39"/>
        <v>468</v>
      </c>
      <c r="F173" s="305">
        <f t="shared" si="47"/>
        <v>0</v>
      </c>
      <c r="G173" s="299">
        <f t="shared" si="47"/>
        <v>0</v>
      </c>
      <c r="H173" s="300">
        <f t="shared" si="47"/>
        <v>0</v>
      </c>
      <c r="I173" s="305">
        <f t="shared" si="47"/>
        <v>0</v>
      </c>
      <c r="J173" s="306">
        <f t="shared" si="35"/>
        <v>0</v>
      </c>
      <c r="K173" s="299"/>
      <c r="L173" s="300">
        <f t="shared" si="36"/>
        <v>-308796.04352126608</v>
      </c>
      <c r="M173" s="305">
        <f t="shared" si="42"/>
        <v>882574.69077634753</v>
      </c>
      <c r="N173" s="307">
        <f t="shared" si="37"/>
        <v>573778.64725508145</v>
      </c>
      <c r="O173" s="299"/>
      <c r="P173" s="308" t="str">
        <f>Données!AC173</f>
        <v/>
      </c>
      <c r="Q173" s="304" t="str">
        <f>Données!AD173</f>
        <v/>
      </c>
      <c r="R173" s="299">
        <f t="shared" si="40"/>
        <v>0</v>
      </c>
      <c r="S173" s="305">
        <f t="shared" si="41"/>
        <v>0</v>
      </c>
      <c r="T173" s="299">
        <f t="shared" si="43"/>
        <v>148498.08108576405</v>
      </c>
      <c r="U173" s="309">
        <f t="shared" si="38"/>
        <v>148498.08108576405</v>
      </c>
    </row>
    <row r="174" spans="1:21" x14ac:dyDescent="0.25">
      <c r="A174" s="156">
        <f>Données!A174</f>
        <v>5704</v>
      </c>
      <c r="B174" s="157" t="str">
        <f>Données!B174</f>
        <v>Begnins</v>
      </c>
      <c r="C174" s="304">
        <f>Données!C174</f>
        <v>2047</v>
      </c>
      <c r="D174" s="300">
        <f t="shared" si="34"/>
        <v>1000</v>
      </c>
      <c r="E174" s="300">
        <f t="shared" si="39"/>
        <v>1047</v>
      </c>
      <c r="F174" s="305">
        <f t="shared" si="47"/>
        <v>0</v>
      </c>
      <c r="G174" s="299">
        <f t="shared" si="47"/>
        <v>0</v>
      </c>
      <c r="H174" s="300">
        <f t="shared" si="47"/>
        <v>0</v>
      </c>
      <c r="I174" s="305">
        <f t="shared" si="47"/>
        <v>0</v>
      </c>
      <c r="J174" s="306">
        <f t="shared" si="35"/>
        <v>0</v>
      </c>
      <c r="K174" s="299"/>
      <c r="L174" s="300">
        <f t="shared" si="36"/>
        <v>-525477.20079129573</v>
      </c>
      <c r="M174" s="305">
        <f t="shared" si="42"/>
        <v>1230674.6539640212</v>
      </c>
      <c r="N174" s="307">
        <f t="shared" si="37"/>
        <v>705197.45317272551</v>
      </c>
      <c r="O174" s="299"/>
      <c r="P174" s="308" t="str">
        <f>Données!AC174</f>
        <v/>
      </c>
      <c r="Q174" s="304" t="str">
        <f>Données!AD174</f>
        <v/>
      </c>
      <c r="R174" s="299">
        <f t="shared" si="40"/>
        <v>0</v>
      </c>
      <c r="S174" s="305">
        <f t="shared" si="41"/>
        <v>0</v>
      </c>
      <c r="T174" s="299">
        <f t="shared" si="43"/>
        <v>207067.82832599385</v>
      </c>
      <c r="U174" s="309">
        <f t="shared" si="38"/>
        <v>207067.82832599385</v>
      </c>
    </row>
    <row r="175" spans="1:21" x14ac:dyDescent="0.25">
      <c r="A175" s="156">
        <f>Données!A175</f>
        <v>5705</v>
      </c>
      <c r="B175" s="157" t="str">
        <f>Données!B175</f>
        <v>Bogis-Bossey</v>
      </c>
      <c r="C175" s="304">
        <f>Données!C175</f>
        <v>961</v>
      </c>
      <c r="D175" s="300">
        <f t="shared" si="34"/>
        <v>961</v>
      </c>
      <c r="E175" s="300">
        <f t="shared" si="39"/>
        <v>0</v>
      </c>
      <c r="F175" s="305">
        <f t="shared" si="47"/>
        <v>0</v>
      </c>
      <c r="G175" s="299">
        <f t="shared" si="47"/>
        <v>0</v>
      </c>
      <c r="H175" s="300">
        <f t="shared" si="47"/>
        <v>0</v>
      </c>
      <c r="I175" s="305">
        <f t="shared" si="47"/>
        <v>0</v>
      </c>
      <c r="J175" s="306">
        <f t="shared" si="35"/>
        <v>0</v>
      </c>
      <c r="K175" s="299"/>
      <c r="L175" s="300">
        <f t="shared" si="36"/>
        <v>-128442.26013847675</v>
      </c>
      <c r="M175" s="305">
        <f t="shared" si="42"/>
        <v>577761.7696430994</v>
      </c>
      <c r="N175" s="307">
        <f t="shared" si="37"/>
        <v>449319.50950462266</v>
      </c>
      <c r="O175" s="299"/>
      <c r="P175" s="308" t="str">
        <f>Données!AC175</f>
        <v/>
      </c>
      <c r="Q175" s="304" t="str">
        <f>Données!AD175</f>
        <v/>
      </c>
      <c r="R175" s="299">
        <f t="shared" si="40"/>
        <v>0</v>
      </c>
      <c r="S175" s="305">
        <f t="shared" si="41"/>
        <v>0</v>
      </c>
      <c r="T175" s="299">
        <f t="shared" si="43"/>
        <v>97211.618476443618</v>
      </c>
      <c r="U175" s="309">
        <f t="shared" si="38"/>
        <v>97211.618476443618</v>
      </c>
    </row>
    <row r="176" spans="1:21" x14ac:dyDescent="0.25">
      <c r="A176" s="156">
        <f>Données!A176</f>
        <v>5706</v>
      </c>
      <c r="B176" s="157" t="str">
        <f>Données!B176</f>
        <v>Borex</v>
      </c>
      <c r="C176" s="304">
        <f>Données!C176</f>
        <v>1168</v>
      </c>
      <c r="D176" s="300">
        <f t="shared" si="34"/>
        <v>1000</v>
      </c>
      <c r="E176" s="300">
        <f t="shared" si="39"/>
        <v>168</v>
      </c>
      <c r="F176" s="305">
        <f t="shared" ref="F176:I185" si="48">IF($C176&lt;F$4,0,IF($C176&gt;F$5,F$5-F$4,$C176-F$4))</f>
        <v>0</v>
      </c>
      <c r="G176" s="299">
        <f t="shared" si="48"/>
        <v>0</v>
      </c>
      <c r="H176" s="300">
        <f t="shared" si="48"/>
        <v>0</v>
      </c>
      <c r="I176" s="305">
        <f t="shared" si="48"/>
        <v>0</v>
      </c>
      <c r="J176" s="306">
        <f t="shared" si="35"/>
        <v>0</v>
      </c>
      <c r="K176" s="299"/>
      <c r="L176" s="300">
        <f t="shared" si="36"/>
        <v>-196526.01384767555</v>
      </c>
      <c r="M176" s="305">
        <f t="shared" si="42"/>
        <v>702212.01554957347</v>
      </c>
      <c r="N176" s="307">
        <f t="shared" si="37"/>
        <v>505686.00170189794</v>
      </c>
      <c r="O176" s="299"/>
      <c r="P176" s="308" t="str">
        <f>Données!AC176</f>
        <v/>
      </c>
      <c r="Q176" s="304" t="str">
        <f>Données!AD176</f>
        <v/>
      </c>
      <c r="R176" s="299">
        <f t="shared" si="40"/>
        <v>0</v>
      </c>
      <c r="S176" s="305">
        <f t="shared" si="41"/>
        <v>0</v>
      </c>
      <c r="T176" s="299">
        <f t="shared" si="43"/>
        <v>118151.06179030817</v>
      </c>
      <c r="U176" s="309">
        <f t="shared" si="38"/>
        <v>118151.06179030817</v>
      </c>
    </row>
    <row r="177" spans="1:21" x14ac:dyDescent="0.25">
      <c r="A177" s="156">
        <f>Données!A177</f>
        <v>5707</v>
      </c>
      <c r="B177" s="157" t="str">
        <f>Données!B177</f>
        <v>Chavannes-de-Bogis</v>
      </c>
      <c r="C177" s="304">
        <f>Données!C177</f>
        <v>1423</v>
      </c>
      <c r="D177" s="300">
        <f t="shared" si="34"/>
        <v>1000</v>
      </c>
      <c r="E177" s="300">
        <f t="shared" si="39"/>
        <v>423</v>
      </c>
      <c r="F177" s="305">
        <f t="shared" si="48"/>
        <v>0</v>
      </c>
      <c r="G177" s="299">
        <f t="shared" si="48"/>
        <v>0</v>
      </c>
      <c r="H177" s="300">
        <f t="shared" si="48"/>
        <v>0</v>
      </c>
      <c r="I177" s="305">
        <f t="shared" si="48"/>
        <v>0</v>
      </c>
      <c r="J177" s="306">
        <f t="shared" si="35"/>
        <v>0</v>
      </c>
      <c r="K177" s="299"/>
      <c r="L177" s="300">
        <f t="shared" si="36"/>
        <v>-291955.53907022747</v>
      </c>
      <c r="M177" s="305">
        <f t="shared" si="42"/>
        <v>855520.28949233145</v>
      </c>
      <c r="N177" s="307">
        <f t="shared" si="37"/>
        <v>563564.75042210403</v>
      </c>
      <c r="O177" s="299"/>
      <c r="P177" s="308" t="str">
        <f>Données!AC177</f>
        <v/>
      </c>
      <c r="Q177" s="304" t="str">
        <f>Données!AD177</f>
        <v/>
      </c>
      <c r="R177" s="299">
        <f t="shared" si="40"/>
        <v>0</v>
      </c>
      <c r="S177" s="305">
        <f t="shared" si="41"/>
        <v>0</v>
      </c>
      <c r="T177" s="299">
        <f t="shared" si="43"/>
        <v>143946.02819144566</v>
      </c>
      <c r="U177" s="309">
        <f t="shared" si="38"/>
        <v>143946.02819144566</v>
      </c>
    </row>
    <row r="178" spans="1:21" x14ac:dyDescent="0.25">
      <c r="A178" s="156">
        <f>Données!A178</f>
        <v>5708</v>
      </c>
      <c r="B178" s="157" t="str">
        <f>Données!B178</f>
        <v>Chavannes-des-Bois</v>
      </c>
      <c r="C178" s="304">
        <f>Données!C178</f>
        <v>983</v>
      </c>
      <c r="D178" s="300">
        <f t="shared" si="34"/>
        <v>983</v>
      </c>
      <c r="E178" s="300">
        <f t="shared" si="39"/>
        <v>0</v>
      </c>
      <c r="F178" s="305">
        <f t="shared" si="48"/>
        <v>0</v>
      </c>
      <c r="G178" s="299">
        <f t="shared" si="48"/>
        <v>0</v>
      </c>
      <c r="H178" s="300">
        <f t="shared" si="48"/>
        <v>0</v>
      </c>
      <c r="I178" s="305">
        <f t="shared" si="48"/>
        <v>0</v>
      </c>
      <c r="J178" s="306">
        <f t="shared" si="35"/>
        <v>0</v>
      </c>
      <c r="K178" s="299"/>
      <c r="L178" s="300">
        <f t="shared" si="36"/>
        <v>-131382.66567754699</v>
      </c>
      <c r="M178" s="305">
        <f t="shared" si="42"/>
        <v>590988.36582639616</v>
      </c>
      <c r="N178" s="307">
        <f t="shared" si="37"/>
        <v>459605.70014884917</v>
      </c>
      <c r="O178" s="299"/>
      <c r="P178" s="308" t="str">
        <f>Données!AC178</f>
        <v/>
      </c>
      <c r="Q178" s="304" t="str">
        <f>Données!AD178</f>
        <v/>
      </c>
      <c r="R178" s="299">
        <f t="shared" si="40"/>
        <v>0</v>
      </c>
      <c r="S178" s="305">
        <f t="shared" si="41"/>
        <v>0</v>
      </c>
      <c r="T178" s="299">
        <f t="shared" si="43"/>
        <v>99437.066558110382</v>
      </c>
      <c r="U178" s="309">
        <f t="shared" si="38"/>
        <v>99437.066558110382</v>
      </c>
    </row>
    <row r="179" spans="1:21" x14ac:dyDescent="0.25">
      <c r="A179" s="156">
        <f>Données!A179</f>
        <v>5709</v>
      </c>
      <c r="B179" s="157" t="str">
        <f>Données!B179</f>
        <v>Chéserex</v>
      </c>
      <c r="C179" s="304">
        <f>Données!C179</f>
        <v>1272</v>
      </c>
      <c r="D179" s="300">
        <f t="shared" si="34"/>
        <v>1000</v>
      </c>
      <c r="E179" s="300">
        <f t="shared" si="39"/>
        <v>272</v>
      </c>
      <c r="F179" s="305">
        <f t="shared" si="48"/>
        <v>0</v>
      </c>
      <c r="G179" s="299">
        <f t="shared" si="48"/>
        <v>0</v>
      </c>
      <c r="H179" s="300">
        <f t="shared" si="48"/>
        <v>0</v>
      </c>
      <c r="I179" s="305">
        <f t="shared" si="48"/>
        <v>0</v>
      </c>
      <c r="J179" s="306">
        <f t="shared" si="35"/>
        <v>0</v>
      </c>
      <c r="K179" s="299"/>
      <c r="L179" s="300">
        <f t="shared" si="36"/>
        <v>-235446.29080118693</v>
      </c>
      <c r="M179" s="305">
        <f t="shared" si="42"/>
        <v>764737.74296152184</v>
      </c>
      <c r="N179" s="307">
        <f t="shared" si="37"/>
        <v>529291.45216033491</v>
      </c>
      <c r="O179" s="299"/>
      <c r="P179" s="308" t="str">
        <f>Données!AC179</f>
        <v/>
      </c>
      <c r="Q179" s="304" t="str">
        <f>Données!AD179</f>
        <v/>
      </c>
      <c r="R179" s="299">
        <f t="shared" si="40"/>
        <v>0</v>
      </c>
      <c r="S179" s="305">
        <f t="shared" si="41"/>
        <v>0</v>
      </c>
      <c r="T179" s="299">
        <f t="shared" si="43"/>
        <v>128671.36181273287</v>
      </c>
      <c r="U179" s="309">
        <f t="shared" si="38"/>
        <v>128671.36181273287</v>
      </c>
    </row>
    <row r="180" spans="1:21" x14ac:dyDescent="0.25">
      <c r="A180" s="156">
        <f>Données!A180</f>
        <v>5710</v>
      </c>
      <c r="B180" s="157" t="str">
        <f>Données!B180</f>
        <v>Coinsins</v>
      </c>
      <c r="C180" s="304">
        <f>Données!C180</f>
        <v>510</v>
      </c>
      <c r="D180" s="300">
        <f t="shared" si="34"/>
        <v>510</v>
      </c>
      <c r="E180" s="300">
        <f t="shared" si="39"/>
        <v>0</v>
      </c>
      <c r="F180" s="305">
        <f t="shared" si="48"/>
        <v>0</v>
      </c>
      <c r="G180" s="299">
        <f t="shared" si="48"/>
        <v>0</v>
      </c>
      <c r="H180" s="300">
        <f t="shared" si="48"/>
        <v>0</v>
      </c>
      <c r="I180" s="305">
        <f t="shared" si="48"/>
        <v>0</v>
      </c>
      <c r="J180" s="306">
        <f t="shared" si="35"/>
        <v>0</v>
      </c>
      <c r="K180" s="299"/>
      <c r="L180" s="300">
        <f t="shared" si="36"/>
        <v>-68163.946587537095</v>
      </c>
      <c r="M180" s="305">
        <f t="shared" si="42"/>
        <v>306616.54788551584</v>
      </c>
      <c r="N180" s="307">
        <f t="shared" si="37"/>
        <v>238452.60129797875</v>
      </c>
      <c r="O180" s="299"/>
      <c r="P180" s="308" t="str">
        <f>Données!AC180</f>
        <v/>
      </c>
      <c r="Q180" s="304" t="str">
        <f>Données!AD180</f>
        <v/>
      </c>
      <c r="R180" s="299">
        <f t="shared" si="40"/>
        <v>0</v>
      </c>
      <c r="S180" s="305">
        <f t="shared" si="41"/>
        <v>0</v>
      </c>
      <c r="T180" s="299">
        <f t="shared" si="43"/>
        <v>51589.932802274969</v>
      </c>
      <c r="U180" s="309">
        <f t="shared" si="38"/>
        <v>51589.932802274969</v>
      </c>
    </row>
    <row r="181" spans="1:21" x14ac:dyDescent="0.25">
      <c r="A181" s="156">
        <f>Données!A181</f>
        <v>5711</v>
      </c>
      <c r="B181" s="157" t="str">
        <f>Données!B181</f>
        <v>Commugny</v>
      </c>
      <c r="C181" s="304">
        <f>Données!C181</f>
        <v>2968</v>
      </c>
      <c r="D181" s="300">
        <f t="shared" si="34"/>
        <v>1000</v>
      </c>
      <c r="E181" s="300">
        <f t="shared" si="39"/>
        <v>1968</v>
      </c>
      <c r="F181" s="305">
        <f t="shared" si="48"/>
        <v>0</v>
      </c>
      <c r="G181" s="299">
        <f t="shared" si="48"/>
        <v>0</v>
      </c>
      <c r="H181" s="300">
        <f t="shared" si="48"/>
        <v>0</v>
      </c>
      <c r="I181" s="305">
        <f t="shared" si="48"/>
        <v>0</v>
      </c>
      <c r="J181" s="306">
        <f t="shared" si="35"/>
        <v>0</v>
      </c>
      <c r="K181" s="299"/>
      <c r="L181" s="300">
        <f t="shared" si="36"/>
        <v>-870146.19188921864</v>
      </c>
      <c r="M181" s="305">
        <f t="shared" si="42"/>
        <v>1784388.0669102175</v>
      </c>
      <c r="N181" s="307">
        <f t="shared" si="37"/>
        <v>914241.87502099888</v>
      </c>
      <c r="O181" s="299"/>
      <c r="P181" s="308" t="str">
        <f>Données!AC181</f>
        <v/>
      </c>
      <c r="Q181" s="304" t="str">
        <f>Données!AD181</f>
        <v/>
      </c>
      <c r="R181" s="299">
        <f t="shared" si="40"/>
        <v>0</v>
      </c>
      <c r="S181" s="305">
        <f t="shared" si="41"/>
        <v>0</v>
      </c>
      <c r="T181" s="299">
        <f t="shared" si="43"/>
        <v>300233.17756304337</v>
      </c>
      <c r="U181" s="309">
        <f t="shared" si="38"/>
        <v>300233.17756304337</v>
      </c>
    </row>
    <row r="182" spans="1:21" x14ac:dyDescent="0.25">
      <c r="A182" s="156">
        <f>Données!A182</f>
        <v>5712</v>
      </c>
      <c r="B182" s="157" t="str">
        <f>Données!B182</f>
        <v>Coppet</v>
      </c>
      <c r="C182" s="304">
        <f>Données!C182</f>
        <v>3233</v>
      </c>
      <c r="D182" s="300">
        <f t="shared" si="34"/>
        <v>1000</v>
      </c>
      <c r="E182" s="300">
        <f t="shared" si="39"/>
        <v>2000</v>
      </c>
      <c r="F182" s="305">
        <f t="shared" si="48"/>
        <v>233</v>
      </c>
      <c r="G182" s="299">
        <f t="shared" si="48"/>
        <v>0</v>
      </c>
      <c r="H182" s="300">
        <f t="shared" si="48"/>
        <v>0</v>
      </c>
      <c r="I182" s="305">
        <f t="shared" si="48"/>
        <v>0</v>
      </c>
      <c r="J182" s="306">
        <f t="shared" si="35"/>
        <v>0</v>
      </c>
      <c r="K182" s="299"/>
      <c r="L182" s="300">
        <f t="shared" si="36"/>
        <v>-1037829.5004945598</v>
      </c>
      <c r="M182" s="305">
        <f t="shared" si="42"/>
        <v>1943708.4300272013</v>
      </c>
      <c r="N182" s="307">
        <f t="shared" si="37"/>
        <v>905878.92953264154</v>
      </c>
      <c r="O182" s="299"/>
      <c r="P182" s="308" t="str">
        <f>Données!AC182</f>
        <v/>
      </c>
      <c r="Q182" s="304" t="str">
        <f>Données!AD182</f>
        <v/>
      </c>
      <c r="R182" s="299">
        <f t="shared" si="40"/>
        <v>0</v>
      </c>
      <c r="S182" s="305">
        <f t="shared" si="41"/>
        <v>0</v>
      </c>
      <c r="T182" s="299">
        <f t="shared" si="43"/>
        <v>327039.7112740294</v>
      </c>
      <c r="U182" s="309">
        <f t="shared" si="38"/>
        <v>327039.7112740294</v>
      </c>
    </row>
    <row r="183" spans="1:21" x14ac:dyDescent="0.25">
      <c r="A183" s="156">
        <f>Données!A183</f>
        <v>5713</v>
      </c>
      <c r="B183" s="157" t="str">
        <f>Données!B183</f>
        <v>Crans</v>
      </c>
      <c r="C183" s="304">
        <f>Données!C183</f>
        <v>2483</v>
      </c>
      <c r="D183" s="300">
        <f t="shared" si="34"/>
        <v>1000</v>
      </c>
      <c r="E183" s="300">
        <f t="shared" si="39"/>
        <v>1483</v>
      </c>
      <c r="F183" s="305">
        <f t="shared" si="48"/>
        <v>0</v>
      </c>
      <c r="G183" s="299">
        <f t="shared" si="48"/>
        <v>0</v>
      </c>
      <c r="H183" s="300">
        <f t="shared" si="48"/>
        <v>0</v>
      </c>
      <c r="I183" s="305">
        <f t="shared" si="48"/>
        <v>0</v>
      </c>
      <c r="J183" s="306">
        <f t="shared" si="35"/>
        <v>0</v>
      </c>
      <c r="K183" s="299"/>
      <c r="L183" s="300">
        <f t="shared" si="36"/>
        <v>-688642.97725024726</v>
      </c>
      <c r="M183" s="305">
        <f t="shared" si="42"/>
        <v>1492801.7419602661</v>
      </c>
      <c r="N183" s="307">
        <f t="shared" si="37"/>
        <v>804158.76471001888</v>
      </c>
      <c r="O183" s="299"/>
      <c r="P183" s="308" t="str">
        <f>Données!AC183</f>
        <v/>
      </c>
      <c r="Q183" s="304" t="str">
        <f>Données!AD183</f>
        <v/>
      </c>
      <c r="R183" s="299">
        <f t="shared" si="40"/>
        <v>0</v>
      </c>
      <c r="S183" s="305">
        <f t="shared" si="41"/>
        <v>0</v>
      </c>
      <c r="T183" s="299">
        <f t="shared" si="43"/>
        <v>251172.16303538971</v>
      </c>
      <c r="U183" s="309">
        <f t="shared" si="38"/>
        <v>251172.16303538971</v>
      </c>
    </row>
    <row r="184" spans="1:21" x14ac:dyDescent="0.25">
      <c r="A184" s="156">
        <f>Données!A184</f>
        <v>5714</v>
      </c>
      <c r="B184" s="157" t="str">
        <f>Données!B184</f>
        <v>Crassier</v>
      </c>
      <c r="C184" s="304">
        <f>Données!C184</f>
        <v>1272</v>
      </c>
      <c r="D184" s="300">
        <f t="shared" si="34"/>
        <v>1000</v>
      </c>
      <c r="E184" s="300">
        <f t="shared" si="39"/>
        <v>272</v>
      </c>
      <c r="F184" s="305">
        <f t="shared" si="48"/>
        <v>0</v>
      </c>
      <c r="G184" s="299">
        <f t="shared" si="48"/>
        <v>0</v>
      </c>
      <c r="H184" s="300">
        <f t="shared" si="48"/>
        <v>0</v>
      </c>
      <c r="I184" s="305">
        <f t="shared" si="48"/>
        <v>0</v>
      </c>
      <c r="J184" s="306">
        <f t="shared" si="35"/>
        <v>0</v>
      </c>
      <c r="K184" s="299"/>
      <c r="L184" s="300">
        <f t="shared" si="36"/>
        <v>-235446.29080118693</v>
      </c>
      <c r="M184" s="305">
        <f t="shared" si="42"/>
        <v>764737.74296152184</v>
      </c>
      <c r="N184" s="307">
        <f t="shared" si="37"/>
        <v>529291.45216033491</v>
      </c>
      <c r="O184" s="299"/>
      <c r="P184" s="308" t="str">
        <f>Données!AC184</f>
        <v/>
      </c>
      <c r="Q184" s="304" t="str">
        <f>Données!AD184</f>
        <v/>
      </c>
      <c r="R184" s="299">
        <f t="shared" si="40"/>
        <v>0</v>
      </c>
      <c r="S184" s="305">
        <f t="shared" si="41"/>
        <v>0</v>
      </c>
      <c r="T184" s="299">
        <f t="shared" si="43"/>
        <v>128671.36181273287</v>
      </c>
      <c r="U184" s="309">
        <f t="shared" si="38"/>
        <v>128671.36181273287</v>
      </c>
    </row>
    <row r="185" spans="1:21" x14ac:dyDescent="0.25">
      <c r="A185" s="156">
        <f>Données!A185</f>
        <v>5715</v>
      </c>
      <c r="B185" s="157" t="str">
        <f>Données!B185</f>
        <v>Duillier</v>
      </c>
      <c r="C185" s="304">
        <f>Données!C185</f>
        <v>1120</v>
      </c>
      <c r="D185" s="300">
        <f t="shared" si="34"/>
        <v>1000</v>
      </c>
      <c r="E185" s="300">
        <f t="shared" si="39"/>
        <v>120</v>
      </c>
      <c r="F185" s="305">
        <f t="shared" si="48"/>
        <v>0</v>
      </c>
      <c r="G185" s="299">
        <f t="shared" si="48"/>
        <v>0</v>
      </c>
      <c r="H185" s="300">
        <f t="shared" si="48"/>
        <v>0</v>
      </c>
      <c r="I185" s="305">
        <f t="shared" si="48"/>
        <v>0</v>
      </c>
      <c r="J185" s="306">
        <f t="shared" si="35"/>
        <v>0</v>
      </c>
      <c r="K185" s="299"/>
      <c r="L185" s="300">
        <f t="shared" si="36"/>
        <v>-178562.80909990106</v>
      </c>
      <c r="M185" s="305">
        <f t="shared" si="42"/>
        <v>673353.98751328967</v>
      </c>
      <c r="N185" s="307">
        <f t="shared" si="37"/>
        <v>494791.17841338861</v>
      </c>
      <c r="O185" s="299"/>
      <c r="P185" s="308" t="str">
        <f>Données!AC185</f>
        <v/>
      </c>
      <c r="Q185" s="304" t="str">
        <f>Données!AD185</f>
        <v/>
      </c>
      <c r="R185" s="299">
        <f t="shared" si="40"/>
        <v>0</v>
      </c>
      <c r="S185" s="305">
        <f t="shared" si="41"/>
        <v>0</v>
      </c>
      <c r="T185" s="299">
        <f t="shared" si="43"/>
        <v>113295.53870303523</v>
      </c>
      <c r="U185" s="309">
        <f t="shared" si="38"/>
        <v>113295.53870303523</v>
      </c>
    </row>
    <row r="186" spans="1:21" x14ac:dyDescent="0.25">
      <c r="A186" s="156">
        <f>Données!A186</f>
        <v>5716</v>
      </c>
      <c r="B186" s="157" t="str">
        <f>Données!B186</f>
        <v>Eysins</v>
      </c>
      <c r="C186" s="304">
        <f>Données!C186</f>
        <v>1811</v>
      </c>
      <c r="D186" s="300">
        <f t="shared" si="34"/>
        <v>1000</v>
      </c>
      <c r="E186" s="300">
        <f t="shared" si="39"/>
        <v>811</v>
      </c>
      <c r="F186" s="305">
        <f t="shared" ref="F186:I195" si="49">IF($C186&lt;F$4,0,IF($C186&gt;F$5,F$5-F$4,$C186-F$4))</f>
        <v>0</v>
      </c>
      <c r="G186" s="299">
        <f t="shared" si="49"/>
        <v>0</v>
      </c>
      <c r="H186" s="300">
        <f t="shared" si="49"/>
        <v>0</v>
      </c>
      <c r="I186" s="305">
        <f t="shared" si="49"/>
        <v>0</v>
      </c>
      <c r="J186" s="306">
        <f t="shared" si="35"/>
        <v>0</v>
      </c>
      <c r="K186" s="299"/>
      <c r="L186" s="300">
        <f t="shared" si="36"/>
        <v>-437158.11078140454</v>
      </c>
      <c r="M186" s="305">
        <f t="shared" si="42"/>
        <v>1088789.3494522925</v>
      </c>
      <c r="N186" s="307">
        <f t="shared" si="37"/>
        <v>651631.23867088801</v>
      </c>
      <c r="O186" s="299"/>
      <c r="P186" s="308" t="str">
        <f>Données!AC186</f>
        <v/>
      </c>
      <c r="Q186" s="304" t="str">
        <f>Données!AD186</f>
        <v/>
      </c>
      <c r="R186" s="299">
        <f t="shared" si="40"/>
        <v>0</v>
      </c>
      <c r="S186" s="305">
        <f t="shared" si="41"/>
        <v>0</v>
      </c>
      <c r="T186" s="299">
        <f t="shared" si="43"/>
        <v>183194.83981356857</v>
      </c>
      <c r="U186" s="309">
        <f t="shared" si="38"/>
        <v>183194.83981356857</v>
      </c>
    </row>
    <row r="187" spans="1:21" x14ac:dyDescent="0.25">
      <c r="A187" s="156">
        <f>Données!A187</f>
        <v>5717</v>
      </c>
      <c r="B187" s="157" t="str">
        <f>Données!B187</f>
        <v>Founex</v>
      </c>
      <c r="C187" s="304">
        <f>Données!C187</f>
        <v>3737</v>
      </c>
      <c r="D187" s="300">
        <f t="shared" si="34"/>
        <v>1000</v>
      </c>
      <c r="E187" s="300">
        <f t="shared" si="39"/>
        <v>2000</v>
      </c>
      <c r="F187" s="305">
        <f t="shared" si="49"/>
        <v>737</v>
      </c>
      <c r="G187" s="299">
        <f t="shared" si="49"/>
        <v>0</v>
      </c>
      <c r="H187" s="300">
        <f t="shared" si="49"/>
        <v>0</v>
      </c>
      <c r="I187" s="305">
        <f t="shared" si="49"/>
        <v>0</v>
      </c>
      <c r="J187" s="306">
        <f t="shared" si="35"/>
        <v>0</v>
      </c>
      <c r="K187" s="299"/>
      <c r="L187" s="300">
        <f t="shared" si="36"/>
        <v>-1374639.5895153312</v>
      </c>
      <c r="M187" s="305">
        <f t="shared" si="42"/>
        <v>2246717.7244081818</v>
      </c>
      <c r="N187" s="307">
        <f t="shared" si="37"/>
        <v>872078.13489285065</v>
      </c>
      <c r="O187" s="299"/>
      <c r="P187" s="308" t="str">
        <f>Données!AC187</f>
        <v/>
      </c>
      <c r="Q187" s="304" t="str">
        <f>Données!AD187</f>
        <v/>
      </c>
      <c r="R187" s="299">
        <f t="shared" si="40"/>
        <v>0</v>
      </c>
      <c r="S187" s="305">
        <f t="shared" si="41"/>
        <v>0</v>
      </c>
      <c r="T187" s="299">
        <f t="shared" si="43"/>
        <v>378022.70369039522</v>
      </c>
      <c r="U187" s="309">
        <f t="shared" si="38"/>
        <v>378022.70369039522</v>
      </c>
    </row>
    <row r="188" spans="1:21" x14ac:dyDescent="0.25">
      <c r="A188" s="156">
        <f>Données!A188</f>
        <v>5718</v>
      </c>
      <c r="B188" s="157" t="str">
        <f>Données!B188</f>
        <v>Genolier</v>
      </c>
      <c r="C188" s="304">
        <f>Données!C188</f>
        <v>2071</v>
      </c>
      <c r="D188" s="300">
        <f t="shared" si="34"/>
        <v>1000</v>
      </c>
      <c r="E188" s="300">
        <f t="shared" si="39"/>
        <v>1071</v>
      </c>
      <c r="F188" s="305">
        <f t="shared" si="49"/>
        <v>0</v>
      </c>
      <c r="G188" s="299">
        <f t="shared" si="49"/>
        <v>0</v>
      </c>
      <c r="H188" s="300">
        <f t="shared" si="49"/>
        <v>0</v>
      </c>
      <c r="I188" s="305">
        <f t="shared" si="49"/>
        <v>0</v>
      </c>
      <c r="J188" s="306">
        <f t="shared" si="35"/>
        <v>0</v>
      </c>
      <c r="K188" s="299"/>
      <c r="L188" s="300">
        <f t="shared" si="36"/>
        <v>-534458.80316518294</v>
      </c>
      <c r="M188" s="305">
        <f t="shared" si="42"/>
        <v>1245103.6679821634</v>
      </c>
      <c r="N188" s="307">
        <f t="shared" si="37"/>
        <v>710644.86481698044</v>
      </c>
      <c r="O188" s="299"/>
      <c r="P188" s="308" t="str">
        <f>Données!AC188</f>
        <v/>
      </c>
      <c r="Q188" s="304" t="str">
        <f>Données!AD188</f>
        <v/>
      </c>
      <c r="R188" s="299">
        <f t="shared" si="40"/>
        <v>0</v>
      </c>
      <c r="S188" s="305">
        <f t="shared" si="41"/>
        <v>0</v>
      </c>
      <c r="T188" s="299">
        <f t="shared" si="43"/>
        <v>209495.58986963032</v>
      </c>
      <c r="U188" s="309">
        <f t="shared" si="38"/>
        <v>209495.58986963032</v>
      </c>
    </row>
    <row r="189" spans="1:21" x14ac:dyDescent="0.25">
      <c r="A189" s="156">
        <f>Données!A189</f>
        <v>5719</v>
      </c>
      <c r="B189" s="157" t="str">
        <f>Données!B189</f>
        <v>Gingins</v>
      </c>
      <c r="C189" s="304">
        <f>Données!C189</f>
        <v>1241</v>
      </c>
      <c r="D189" s="300">
        <f t="shared" si="34"/>
        <v>1000</v>
      </c>
      <c r="E189" s="300">
        <f t="shared" si="39"/>
        <v>241</v>
      </c>
      <c r="F189" s="305">
        <f t="shared" si="49"/>
        <v>0</v>
      </c>
      <c r="G189" s="299">
        <f t="shared" si="49"/>
        <v>0</v>
      </c>
      <c r="H189" s="300">
        <f t="shared" si="49"/>
        <v>0</v>
      </c>
      <c r="I189" s="305">
        <f t="shared" si="49"/>
        <v>0</v>
      </c>
      <c r="J189" s="306">
        <f t="shared" si="35"/>
        <v>0</v>
      </c>
      <c r="K189" s="299"/>
      <c r="L189" s="300">
        <f t="shared" si="36"/>
        <v>-223845.05440158257</v>
      </c>
      <c r="M189" s="305">
        <f t="shared" si="42"/>
        <v>746100.26652142184</v>
      </c>
      <c r="N189" s="307">
        <f t="shared" si="37"/>
        <v>522255.21211983927</v>
      </c>
      <c r="O189" s="299"/>
      <c r="P189" s="308" t="str">
        <f>Données!AC189</f>
        <v/>
      </c>
      <c r="Q189" s="304" t="str">
        <f>Données!AD189</f>
        <v/>
      </c>
      <c r="R189" s="299">
        <f t="shared" si="40"/>
        <v>0</v>
      </c>
      <c r="S189" s="305">
        <f t="shared" si="41"/>
        <v>0</v>
      </c>
      <c r="T189" s="299">
        <f t="shared" si="43"/>
        <v>125535.50315220244</v>
      </c>
      <c r="U189" s="309">
        <f t="shared" si="38"/>
        <v>125535.50315220244</v>
      </c>
    </row>
    <row r="190" spans="1:21" x14ac:dyDescent="0.25">
      <c r="A190" s="156">
        <f>Données!A190</f>
        <v>5720</v>
      </c>
      <c r="B190" s="157" t="str">
        <f>Données!B190</f>
        <v>Givrins</v>
      </c>
      <c r="C190" s="304">
        <f>Données!C190</f>
        <v>1096</v>
      </c>
      <c r="D190" s="300">
        <f t="shared" si="34"/>
        <v>1000</v>
      </c>
      <c r="E190" s="300">
        <f t="shared" si="39"/>
        <v>96</v>
      </c>
      <c r="F190" s="305">
        <f t="shared" si="49"/>
        <v>0</v>
      </c>
      <c r="G190" s="299">
        <f t="shared" si="49"/>
        <v>0</v>
      </c>
      <c r="H190" s="300">
        <f t="shared" si="49"/>
        <v>0</v>
      </c>
      <c r="I190" s="305">
        <f t="shared" si="49"/>
        <v>0</v>
      </c>
      <c r="J190" s="306">
        <f t="shared" si="35"/>
        <v>0</v>
      </c>
      <c r="K190" s="299"/>
      <c r="L190" s="300">
        <f t="shared" si="36"/>
        <v>-169581.20672601383</v>
      </c>
      <c r="M190" s="305">
        <f t="shared" si="42"/>
        <v>658924.97349514777</v>
      </c>
      <c r="N190" s="307">
        <f t="shared" si="37"/>
        <v>489343.76676913397</v>
      </c>
      <c r="O190" s="299"/>
      <c r="P190" s="308" t="str">
        <f>Données!AC190</f>
        <v/>
      </c>
      <c r="Q190" s="304" t="str">
        <f>Données!AD190</f>
        <v/>
      </c>
      <c r="R190" s="299">
        <f t="shared" si="40"/>
        <v>0</v>
      </c>
      <c r="S190" s="305">
        <f t="shared" si="41"/>
        <v>0</v>
      </c>
      <c r="T190" s="299">
        <f t="shared" si="43"/>
        <v>110867.77715939876</v>
      </c>
      <c r="U190" s="309">
        <f t="shared" si="38"/>
        <v>110867.77715939876</v>
      </c>
    </row>
    <row r="191" spans="1:21" x14ac:dyDescent="0.25">
      <c r="A191" s="156">
        <f>Données!A191</f>
        <v>5721</v>
      </c>
      <c r="B191" s="157" t="str">
        <f>Données!B191</f>
        <v>Gland</v>
      </c>
      <c r="C191" s="304">
        <f>Données!C191</f>
        <v>13978</v>
      </c>
      <c r="D191" s="300">
        <f t="shared" si="34"/>
        <v>1000</v>
      </c>
      <c r="E191" s="300">
        <f t="shared" si="39"/>
        <v>2000</v>
      </c>
      <c r="F191" s="305">
        <f t="shared" si="49"/>
        <v>9000</v>
      </c>
      <c r="G191" s="299">
        <f t="shared" si="49"/>
        <v>1978</v>
      </c>
      <c r="H191" s="300">
        <f t="shared" si="49"/>
        <v>0</v>
      </c>
      <c r="I191" s="305">
        <f t="shared" si="49"/>
        <v>0</v>
      </c>
      <c r="J191" s="306">
        <f t="shared" si="35"/>
        <v>0</v>
      </c>
      <c r="K191" s="299"/>
      <c r="L191" s="300">
        <f t="shared" si="36"/>
        <v>-9011541.048466865</v>
      </c>
      <c r="M191" s="305">
        <f t="shared" si="42"/>
        <v>8403698.2477328237</v>
      </c>
      <c r="N191" s="307">
        <f t="shared" si="37"/>
        <v>-607842.80073404126</v>
      </c>
      <c r="O191" s="299"/>
      <c r="P191" s="308">
        <f>Données!AC191</f>
        <v>496450.85</v>
      </c>
      <c r="Q191" s="304">
        <f>Données!AD191</f>
        <v>19132</v>
      </c>
      <c r="R191" s="299">
        <f t="shared" si="40"/>
        <v>515582.85</v>
      </c>
      <c r="S191" s="305">
        <f t="shared" si="41"/>
        <v>-309349.70999999996</v>
      </c>
      <c r="T191" s="299">
        <f t="shared" si="43"/>
        <v>1413968.7857062735</v>
      </c>
      <c r="U191" s="309">
        <f t="shared" si="38"/>
        <v>1104619.0757062736</v>
      </c>
    </row>
    <row r="192" spans="1:21" x14ac:dyDescent="0.25">
      <c r="A192" s="156">
        <f>Données!A192</f>
        <v>5722</v>
      </c>
      <c r="B192" s="157" t="str">
        <f>Données!B192</f>
        <v>Grens</v>
      </c>
      <c r="C192" s="304">
        <f>Données!C192</f>
        <v>413</v>
      </c>
      <c r="D192" s="300">
        <f t="shared" si="34"/>
        <v>413</v>
      </c>
      <c r="E192" s="300">
        <f t="shared" si="39"/>
        <v>0</v>
      </c>
      <c r="F192" s="305">
        <f t="shared" si="49"/>
        <v>0</v>
      </c>
      <c r="G192" s="299">
        <f t="shared" si="49"/>
        <v>0</v>
      </c>
      <c r="H192" s="300">
        <f t="shared" si="49"/>
        <v>0</v>
      </c>
      <c r="I192" s="305">
        <f t="shared" si="49"/>
        <v>0</v>
      </c>
      <c r="J192" s="306">
        <f t="shared" si="35"/>
        <v>0</v>
      </c>
      <c r="K192" s="299"/>
      <c r="L192" s="300">
        <f t="shared" si="36"/>
        <v>-55199.431256181997</v>
      </c>
      <c r="M192" s="305">
        <f t="shared" si="42"/>
        <v>248299.28289552557</v>
      </c>
      <c r="N192" s="307">
        <f t="shared" si="37"/>
        <v>193099.85163934357</v>
      </c>
      <c r="O192" s="299"/>
      <c r="P192" s="308" t="str">
        <f>Données!AC192</f>
        <v/>
      </c>
      <c r="Q192" s="304" t="str">
        <f>Données!AD192</f>
        <v/>
      </c>
      <c r="R192" s="299">
        <f t="shared" si="40"/>
        <v>0</v>
      </c>
      <c r="S192" s="305">
        <f t="shared" si="41"/>
        <v>0</v>
      </c>
      <c r="T192" s="299">
        <f t="shared" si="43"/>
        <v>41777.72989674424</v>
      </c>
      <c r="U192" s="309">
        <f t="shared" si="38"/>
        <v>41777.72989674424</v>
      </c>
    </row>
    <row r="193" spans="1:21" x14ac:dyDescent="0.25">
      <c r="A193" s="156">
        <f>Données!A193</f>
        <v>5723</v>
      </c>
      <c r="B193" s="157" t="str">
        <f>Données!B193</f>
        <v>Mies</v>
      </c>
      <c r="C193" s="304">
        <f>Données!C193</f>
        <v>2194</v>
      </c>
      <c r="D193" s="300">
        <f t="shared" si="34"/>
        <v>1000</v>
      </c>
      <c r="E193" s="300">
        <f t="shared" si="39"/>
        <v>1194</v>
      </c>
      <c r="F193" s="305">
        <f t="shared" si="49"/>
        <v>0</v>
      </c>
      <c r="G193" s="299">
        <f t="shared" si="49"/>
        <v>0</v>
      </c>
      <c r="H193" s="300">
        <f t="shared" si="49"/>
        <v>0</v>
      </c>
      <c r="I193" s="305">
        <f t="shared" si="49"/>
        <v>0</v>
      </c>
      <c r="J193" s="306">
        <f t="shared" si="35"/>
        <v>0</v>
      </c>
      <c r="K193" s="299"/>
      <c r="L193" s="300">
        <f t="shared" si="36"/>
        <v>-580489.51533135516</v>
      </c>
      <c r="M193" s="305">
        <f t="shared" si="42"/>
        <v>1319052.3648251407</v>
      </c>
      <c r="N193" s="307">
        <f t="shared" si="37"/>
        <v>738562.84949378553</v>
      </c>
      <c r="O193" s="299"/>
      <c r="P193" s="308" t="str">
        <f>Données!AC193</f>
        <v/>
      </c>
      <c r="Q193" s="304" t="str">
        <f>Données!AD193</f>
        <v/>
      </c>
      <c r="R193" s="299">
        <f t="shared" si="40"/>
        <v>0</v>
      </c>
      <c r="S193" s="305">
        <f t="shared" si="41"/>
        <v>0</v>
      </c>
      <c r="T193" s="299">
        <f t="shared" si="43"/>
        <v>221937.86778076724</v>
      </c>
      <c r="U193" s="309">
        <f t="shared" si="38"/>
        <v>221937.86778076724</v>
      </c>
    </row>
    <row r="194" spans="1:21" x14ac:dyDescent="0.25">
      <c r="A194" s="156">
        <f>Données!A194</f>
        <v>5724</v>
      </c>
      <c r="B194" s="157" t="str">
        <f>Données!B194</f>
        <v>Nyon</v>
      </c>
      <c r="C194" s="304">
        <f>Données!C194</f>
        <v>23732</v>
      </c>
      <c r="D194" s="300">
        <f t="shared" si="34"/>
        <v>1000</v>
      </c>
      <c r="E194" s="300">
        <f t="shared" si="39"/>
        <v>2000</v>
      </c>
      <c r="F194" s="305">
        <f t="shared" si="49"/>
        <v>9000</v>
      </c>
      <c r="G194" s="299">
        <f t="shared" si="49"/>
        <v>3000</v>
      </c>
      <c r="H194" s="300">
        <f t="shared" si="49"/>
        <v>8732</v>
      </c>
      <c r="I194" s="305">
        <f t="shared" si="49"/>
        <v>0</v>
      </c>
      <c r="J194" s="306">
        <f t="shared" si="35"/>
        <v>0</v>
      </c>
      <c r="K194" s="299"/>
      <c r="L194" s="300">
        <f t="shared" si="36"/>
        <v>-19907721.661721069</v>
      </c>
      <c r="M194" s="305">
        <f t="shared" si="42"/>
        <v>14267890.02827267</v>
      </c>
      <c r="N194" s="307">
        <f t="shared" si="37"/>
        <v>-5639831.6334483996</v>
      </c>
      <c r="O194" s="299"/>
      <c r="P194" s="308">
        <f>Données!AC194</f>
        <v>3557554</v>
      </c>
      <c r="Q194" s="304">
        <f>Données!AD194</f>
        <v>0</v>
      </c>
      <c r="R194" s="299">
        <f t="shared" si="40"/>
        <v>3557554</v>
      </c>
      <c r="S194" s="305">
        <f t="shared" si="41"/>
        <v>-2134532.4</v>
      </c>
      <c r="T194" s="299">
        <f t="shared" si="43"/>
        <v>2400651.5397325289</v>
      </c>
      <c r="U194" s="309">
        <f t="shared" si="38"/>
        <v>266119.13973252894</v>
      </c>
    </row>
    <row r="195" spans="1:21" x14ac:dyDescent="0.25">
      <c r="A195" s="156">
        <f>Données!A195</f>
        <v>5725</v>
      </c>
      <c r="B195" s="157" t="str">
        <f>Données!B195</f>
        <v>Prangins</v>
      </c>
      <c r="C195" s="304">
        <f>Données!C195</f>
        <v>4243</v>
      </c>
      <c r="D195" s="300">
        <f t="shared" si="34"/>
        <v>1000</v>
      </c>
      <c r="E195" s="300">
        <f t="shared" si="39"/>
        <v>2000</v>
      </c>
      <c r="F195" s="305">
        <f t="shared" si="49"/>
        <v>1243</v>
      </c>
      <c r="G195" s="299">
        <f t="shared" si="49"/>
        <v>0</v>
      </c>
      <c r="H195" s="300">
        <f t="shared" si="49"/>
        <v>0</v>
      </c>
      <c r="I195" s="305">
        <f t="shared" si="49"/>
        <v>0</v>
      </c>
      <c r="J195" s="306">
        <f t="shared" si="35"/>
        <v>0</v>
      </c>
      <c r="K195" s="299"/>
      <c r="L195" s="300">
        <f t="shared" si="36"/>
        <v>-1712786.2265084074</v>
      </c>
      <c r="M195" s="305">
        <f t="shared" si="42"/>
        <v>2550929.4366240073</v>
      </c>
      <c r="N195" s="307">
        <f t="shared" si="37"/>
        <v>838143.21011559991</v>
      </c>
      <c r="O195" s="299"/>
      <c r="P195" s="308">
        <f>Données!AC195</f>
        <v>916487</v>
      </c>
      <c r="Q195" s="304">
        <f>Données!AD195</f>
        <v>0</v>
      </c>
      <c r="R195" s="299">
        <f t="shared" si="40"/>
        <v>916487</v>
      </c>
      <c r="S195" s="305">
        <f t="shared" si="41"/>
        <v>-549892.19999999995</v>
      </c>
      <c r="T195" s="299">
        <f t="shared" si="43"/>
        <v>429208.00956873078</v>
      </c>
      <c r="U195" s="309">
        <f t="shared" si="38"/>
        <v>-120684.19043126918</v>
      </c>
    </row>
    <row r="196" spans="1:21" x14ac:dyDescent="0.25">
      <c r="A196" s="156">
        <f>Données!A196</f>
        <v>5726</v>
      </c>
      <c r="B196" s="157" t="str">
        <f>Données!B196</f>
        <v>La Rippe</v>
      </c>
      <c r="C196" s="304">
        <f>Données!C196</f>
        <v>1218</v>
      </c>
      <c r="D196" s="300">
        <f t="shared" si="34"/>
        <v>1000</v>
      </c>
      <c r="E196" s="300">
        <f t="shared" si="39"/>
        <v>218</v>
      </c>
      <c r="F196" s="305">
        <f t="shared" ref="F196:I205" si="50">IF($C196&lt;F$4,0,IF($C196&gt;F$5,F$5-F$4,$C196-F$4))</f>
        <v>0</v>
      </c>
      <c r="G196" s="299">
        <f t="shared" si="50"/>
        <v>0</v>
      </c>
      <c r="H196" s="300">
        <f t="shared" si="50"/>
        <v>0</v>
      </c>
      <c r="I196" s="305">
        <f t="shared" si="50"/>
        <v>0</v>
      </c>
      <c r="J196" s="306">
        <f t="shared" si="35"/>
        <v>0</v>
      </c>
      <c r="K196" s="299"/>
      <c r="L196" s="300">
        <f t="shared" si="36"/>
        <v>-215237.68545994064</v>
      </c>
      <c r="M196" s="305">
        <f t="shared" si="42"/>
        <v>732272.46142070252</v>
      </c>
      <c r="N196" s="307">
        <f t="shared" si="37"/>
        <v>517034.77596076188</v>
      </c>
      <c r="O196" s="299"/>
      <c r="P196" s="308" t="str">
        <f>Données!AC196</f>
        <v/>
      </c>
      <c r="Q196" s="304" t="str">
        <f>Données!AD196</f>
        <v/>
      </c>
      <c r="R196" s="299">
        <f t="shared" si="40"/>
        <v>0</v>
      </c>
      <c r="S196" s="305">
        <f t="shared" si="41"/>
        <v>0</v>
      </c>
      <c r="T196" s="299">
        <f t="shared" si="43"/>
        <v>123208.89833955081</v>
      </c>
      <c r="U196" s="309">
        <f t="shared" si="38"/>
        <v>123208.89833955081</v>
      </c>
    </row>
    <row r="197" spans="1:21" x14ac:dyDescent="0.25">
      <c r="A197" s="156">
        <f>Données!A197</f>
        <v>5727</v>
      </c>
      <c r="B197" s="157" t="str">
        <f>Données!B197</f>
        <v>Saint-Cergue</v>
      </c>
      <c r="C197" s="304">
        <f>Données!C197</f>
        <v>3057</v>
      </c>
      <c r="D197" s="300">
        <f t="shared" ref="D197:D260" si="51">IF(C197&gt;$D$5,$D$5-$D$4,C197)</f>
        <v>1000</v>
      </c>
      <c r="E197" s="300">
        <f t="shared" si="39"/>
        <v>2000</v>
      </c>
      <c r="F197" s="305">
        <f t="shared" si="50"/>
        <v>57</v>
      </c>
      <c r="G197" s="299">
        <f t="shared" si="50"/>
        <v>0</v>
      </c>
      <c r="H197" s="300">
        <f t="shared" si="50"/>
        <v>0</v>
      </c>
      <c r="I197" s="305">
        <f t="shared" si="50"/>
        <v>0</v>
      </c>
      <c r="J197" s="306">
        <f t="shared" ref="J197:J260" si="52">IF($C197&lt;J$4,0,$C197-J$4)</f>
        <v>0</v>
      </c>
      <c r="K197" s="299"/>
      <c r="L197" s="300">
        <f t="shared" ref="L197:L260" si="53">-SUMPRODUCT($D$6:$J$6,D197:J197)</f>
        <v>-920213.27893175068</v>
      </c>
      <c r="M197" s="305">
        <f t="shared" si="42"/>
        <v>1837895.6605608272</v>
      </c>
      <c r="N197" s="307">
        <f t="shared" ref="N197:N260" si="54">SUM(L197:M197)</f>
        <v>917682.38162907655</v>
      </c>
      <c r="O197" s="299"/>
      <c r="P197" s="308" t="str">
        <f>Données!AC197</f>
        <v/>
      </c>
      <c r="Q197" s="304" t="str">
        <f>Données!AD197</f>
        <v/>
      </c>
      <c r="R197" s="299">
        <f t="shared" si="40"/>
        <v>0</v>
      </c>
      <c r="S197" s="305">
        <f t="shared" si="41"/>
        <v>0</v>
      </c>
      <c r="T197" s="299">
        <f t="shared" si="43"/>
        <v>309236.12662069529</v>
      </c>
      <c r="U197" s="309">
        <f t="shared" ref="U197:U260" si="55">S197+T197</f>
        <v>309236.12662069529</v>
      </c>
    </row>
    <row r="198" spans="1:21" x14ac:dyDescent="0.25">
      <c r="A198" s="156">
        <f>Données!A198</f>
        <v>5728</v>
      </c>
      <c r="B198" s="157" t="str">
        <f>Données!B198</f>
        <v>Signy-Avenex</v>
      </c>
      <c r="C198" s="304">
        <f>Données!C198</f>
        <v>586</v>
      </c>
      <c r="D198" s="300">
        <f t="shared" si="51"/>
        <v>586</v>
      </c>
      <c r="E198" s="300">
        <f t="shared" ref="E198:E261" si="56">IF(C198&lt;$E$4,0,IF(C198&gt;$E$5,$E$5-$E$4,C198-$E$4))</f>
        <v>0</v>
      </c>
      <c r="F198" s="305">
        <f t="shared" si="50"/>
        <v>0</v>
      </c>
      <c r="G198" s="299">
        <f t="shared" si="50"/>
        <v>0</v>
      </c>
      <c r="H198" s="300">
        <f t="shared" si="50"/>
        <v>0</v>
      </c>
      <c r="I198" s="305">
        <f t="shared" si="50"/>
        <v>0</v>
      </c>
      <c r="J198" s="306">
        <f t="shared" si="52"/>
        <v>0</v>
      </c>
      <c r="K198" s="299"/>
      <c r="L198" s="300">
        <f t="shared" si="53"/>
        <v>-78321.711177052421</v>
      </c>
      <c r="M198" s="305">
        <f t="shared" si="42"/>
        <v>352308.42560963193</v>
      </c>
      <c r="N198" s="307">
        <f t="shared" si="54"/>
        <v>273986.71443257952</v>
      </c>
      <c r="O198" s="299"/>
      <c r="P198" s="308" t="str">
        <f>Données!AC198</f>
        <v/>
      </c>
      <c r="Q198" s="304" t="str">
        <f>Données!AD198</f>
        <v/>
      </c>
      <c r="R198" s="299">
        <f t="shared" ref="R198:R261" si="57">SUM(P198:Q198)</f>
        <v>0</v>
      </c>
      <c r="S198" s="305">
        <f t="shared" ref="S198:S261" si="58">-R198*$P$6</f>
        <v>0</v>
      </c>
      <c r="T198" s="299">
        <f t="shared" si="43"/>
        <v>59277.844357123788</v>
      </c>
      <c r="U198" s="309">
        <f t="shared" si="55"/>
        <v>59277.844357123788</v>
      </c>
    </row>
    <row r="199" spans="1:21" x14ac:dyDescent="0.25">
      <c r="A199" s="156">
        <f>Données!A199</f>
        <v>5729</v>
      </c>
      <c r="B199" s="157" t="str">
        <f>Données!B199</f>
        <v>Tannay</v>
      </c>
      <c r="C199" s="304">
        <f>Données!C199</f>
        <v>1732</v>
      </c>
      <c r="D199" s="300">
        <f t="shared" si="51"/>
        <v>1000</v>
      </c>
      <c r="E199" s="300">
        <f t="shared" si="56"/>
        <v>732</v>
      </c>
      <c r="F199" s="305">
        <f t="shared" si="50"/>
        <v>0</v>
      </c>
      <c r="G199" s="299">
        <f t="shared" si="50"/>
        <v>0</v>
      </c>
      <c r="H199" s="300">
        <f t="shared" si="50"/>
        <v>0</v>
      </c>
      <c r="I199" s="305">
        <f t="shared" si="50"/>
        <v>0</v>
      </c>
      <c r="J199" s="306">
        <f t="shared" si="52"/>
        <v>0</v>
      </c>
      <c r="K199" s="299"/>
      <c r="L199" s="300">
        <f t="shared" si="53"/>
        <v>-407593.66963402572</v>
      </c>
      <c r="M199" s="305">
        <f t="shared" si="42"/>
        <v>1041293.8449759086</v>
      </c>
      <c r="N199" s="307">
        <f t="shared" si="54"/>
        <v>633700.17534188298</v>
      </c>
      <c r="O199" s="299"/>
      <c r="P199" s="308" t="str">
        <f>Données!AC199</f>
        <v/>
      </c>
      <c r="Q199" s="304" t="str">
        <f>Données!AD199</f>
        <v/>
      </c>
      <c r="R199" s="299">
        <f t="shared" si="57"/>
        <v>0</v>
      </c>
      <c r="S199" s="305">
        <f t="shared" si="58"/>
        <v>0</v>
      </c>
      <c r="T199" s="299">
        <f t="shared" si="43"/>
        <v>175203.45806576521</v>
      </c>
      <c r="U199" s="309">
        <f t="shared" si="55"/>
        <v>175203.45806576521</v>
      </c>
    </row>
    <row r="200" spans="1:21" x14ac:dyDescent="0.25">
      <c r="A200" s="156">
        <f>Données!A200</f>
        <v>5730</v>
      </c>
      <c r="B200" s="157" t="str">
        <f>Données!B200</f>
        <v>Trélex</v>
      </c>
      <c r="C200" s="304">
        <f>Données!C200</f>
        <v>1427</v>
      </c>
      <c r="D200" s="300">
        <f t="shared" si="51"/>
        <v>1000</v>
      </c>
      <c r="E200" s="300">
        <f t="shared" si="56"/>
        <v>427</v>
      </c>
      <c r="F200" s="305">
        <f t="shared" si="50"/>
        <v>0</v>
      </c>
      <c r="G200" s="299">
        <f t="shared" si="50"/>
        <v>0</v>
      </c>
      <c r="H200" s="300">
        <f t="shared" si="50"/>
        <v>0</v>
      </c>
      <c r="I200" s="305">
        <f t="shared" si="50"/>
        <v>0</v>
      </c>
      <c r="J200" s="306">
        <f t="shared" si="52"/>
        <v>0</v>
      </c>
      <c r="K200" s="299"/>
      <c r="L200" s="300">
        <f t="shared" si="53"/>
        <v>-293452.47279920871</v>
      </c>
      <c r="M200" s="305">
        <f t="shared" ref="M200:M263" si="59">(-$L$6)/($C$302)*C200</f>
        <v>857925.12516202172</v>
      </c>
      <c r="N200" s="307">
        <f t="shared" si="54"/>
        <v>564472.65236281301</v>
      </c>
      <c r="O200" s="299"/>
      <c r="P200" s="308" t="str">
        <f>Données!AC200</f>
        <v/>
      </c>
      <c r="Q200" s="304" t="str">
        <f>Données!AD200</f>
        <v/>
      </c>
      <c r="R200" s="299">
        <f t="shared" si="57"/>
        <v>0</v>
      </c>
      <c r="S200" s="305">
        <f t="shared" si="58"/>
        <v>0</v>
      </c>
      <c r="T200" s="299">
        <f t="shared" ref="T200:T263" si="60">-$S$6/$C$302*C200</f>
        <v>144350.65511538507</v>
      </c>
      <c r="U200" s="309">
        <f t="shared" si="55"/>
        <v>144350.65511538507</v>
      </c>
    </row>
    <row r="201" spans="1:21" x14ac:dyDescent="0.25">
      <c r="A201" s="156">
        <f>Données!A201</f>
        <v>5731</v>
      </c>
      <c r="B201" s="157" t="str">
        <f>Données!B201</f>
        <v>Le Vaud</v>
      </c>
      <c r="C201" s="304">
        <f>Données!C201</f>
        <v>1374</v>
      </c>
      <c r="D201" s="300">
        <f t="shared" si="51"/>
        <v>1000</v>
      </c>
      <c r="E201" s="300">
        <f t="shared" si="56"/>
        <v>374</v>
      </c>
      <c r="F201" s="305">
        <f t="shared" si="50"/>
        <v>0</v>
      </c>
      <c r="G201" s="299">
        <f t="shared" si="50"/>
        <v>0</v>
      </c>
      <c r="H201" s="300">
        <f t="shared" si="50"/>
        <v>0</v>
      </c>
      <c r="I201" s="305">
        <f t="shared" si="50"/>
        <v>0</v>
      </c>
      <c r="J201" s="306">
        <f t="shared" si="52"/>
        <v>0</v>
      </c>
      <c r="K201" s="299"/>
      <c r="L201" s="300">
        <f t="shared" si="53"/>
        <v>-273618.10089020769</v>
      </c>
      <c r="M201" s="305">
        <f t="shared" si="59"/>
        <v>826061.05253862496</v>
      </c>
      <c r="N201" s="307">
        <f t="shared" si="54"/>
        <v>552442.95164841728</v>
      </c>
      <c r="O201" s="299"/>
      <c r="P201" s="308" t="str">
        <f>Données!AC201</f>
        <v/>
      </c>
      <c r="Q201" s="304" t="str">
        <f>Données!AD201</f>
        <v/>
      </c>
      <c r="R201" s="299">
        <f t="shared" si="57"/>
        <v>0</v>
      </c>
      <c r="S201" s="305">
        <f t="shared" si="58"/>
        <v>0</v>
      </c>
      <c r="T201" s="299">
        <f t="shared" si="60"/>
        <v>138989.34837318785</v>
      </c>
      <c r="U201" s="309">
        <f t="shared" si="55"/>
        <v>138989.34837318785</v>
      </c>
    </row>
    <row r="202" spans="1:21" x14ac:dyDescent="0.25">
      <c r="A202" s="156">
        <f>Données!A202</f>
        <v>5732</v>
      </c>
      <c r="B202" s="157" t="str">
        <f>Données!B202</f>
        <v>Vich</v>
      </c>
      <c r="C202" s="304">
        <f>Données!C202</f>
        <v>1174</v>
      </c>
      <c r="D202" s="300">
        <f t="shared" si="51"/>
        <v>1000</v>
      </c>
      <c r="E202" s="300">
        <f t="shared" si="56"/>
        <v>174</v>
      </c>
      <c r="F202" s="305">
        <f t="shared" si="50"/>
        <v>0</v>
      </c>
      <c r="G202" s="299">
        <f t="shared" si="50"/>
        <v>0</v>
      </c>
      <c r="H202" s="300">
        <f t="shared" si="50"/>
        <v>0</v>
      </c>
      <c r="I202" s="305">
        <f t="shared" si="50"/>
        <v>0</v>
      </c>
      <c r="J202" s="306">
        <f t="shared" si="52"/>
        <v>0</v>
      </c>
      <c r="K202" s="299"/>
      <c r="L202" s="300">
        <f t="shared" si="53"/>
        <v>-198771.41444114735</v>
      </c>
      <c r="M202" s="305">
        <f t="shared" si="59"/>
        <v>705819.269054109</v>
      </c>
      <c r="N202" s="307">
        <f t="shared" si="54"/>
        <v>507047.85461296164</v>
      </c>
      <c r="O202" s="299"/>
      <c r="P202" s="308" t="str">
        <f>Données!AC202</f>
        <v/>
      </c>
      <c r="Q202" s="304" t="str">
        <f>Données!AD202</f>
        <v/>
      </c>
      <c r="R202" s="299">
        <f t="shared" si="57"/>
        <v>0</v>
      </c>
      <c r="S202" s="305">
        <f t="shared" si="58"/>
        <v>0</v>
      </c>
      <c r="T202" s="299">
        <f t="shared" si="60"/>
        <v>118758.00217621728</v>
      </c>
      <c r="U202" s="309">
        <f t="shared" si="55"/>
        <v>118758.00217621728</v>
      </c>
    </row>
    <row r="203" spans="1:21" x14ac:dyDescent="0.25">
      <c r="A203" s="156">
        <f>Données!A203</f>
        <v>5741</v>
      </c>
      <c r="B203" s="157" t="str">
        <f>Données!B203</f>
        <v>L'Abergement</v>
      </c>
      <c r="C203" s="304">
        <f>Données!C203</f>
        <v>267</v>
      </c>
      <c r="D203" s="300">
        <f t="shared" si="51"/>
        <v>267</v>
      </c>
      <c r="E203" s="300">
        <f t="shared" si="56"/>
        <v>0</v>
      </c>
      <c r="F203" s="305">
        <f t="shared" si="50"/>
        <v>0</v>
      </c>
      <c r="G203" s="299">
        <f t="shared" si="50"/>
        <v>0</v>
      </c>
      <c r="H203" s="300">
        <f t="shared" si="50"/>
        <v>0</v>
      </c>
      <c r="I203" s="305">
        <f t="shared" si="50"/>
        <v>0</v>
      </c>
      <c r="J203" s="306">
        <f t="shared" si="52"/>
        <v>0</v>
      </c>
      <c r="K203" s="299"/>
      <c r="L203" s="300">
        <f t="shared" si="53"/>
        <v>-35685.830860534123</v>
      </c>
      <c r="M203" s="305">
        <f t="shared" si="59"/>
        <v>160522.78095182887</v>
      </c>
      <c r="N203" s="307">
        <f t="shared" si="54"/>
        <v>124836.95009129474</v>
      </c>
      <c r="O203" s="299"/>
      <c r="P203" s="308" t="str">
        <f>Données!AC203</f>
        <v/>
      </c>
      <c r="Q203" s="304" t="str">
        <f>Données!AD203</f>
        <v/>
      </c>
      <c r="R203" s="299">
        <f t="shared" si="57"/>
        <v>0</v>
      </c>
      <c r="S203" s="305">
        <f t="shared" si="58"/>
        <v>0</v>
      </c>
      <c r="T203" s="299">
        <f t="shared" si="60"/>
        <v>27008.84717295572</v>
      </c>
      <c r="U203" s="309">
        <f t="shared" si="55"/>
        <v>27008.84717295572</v>
      </c>
    </row>
    <row r="204" spans="1:21" x14ac:dyDescent="0.25">
      <c r="A204" s="156">
        <f>Données!A204</f>
        <v>5742</v>
      </c>
      <c r="B204" s="157" t="str">
        <f>Données!B204</f>
        <v>Agiez</v>
      </c>
      <c r="C204" s="304">
        <f>Données!C204</f>
        <v>382</v>
      </c>
      <c r="D204" s="300">
        <f t="shared" si="51"/>
        <v>382</v>
      </c>
      <c r="E204" s="300">
        <f t="shared" si="56"/>
        <v>0</v>
      </c>
      <c r="F204" s="305">
        <f t="shared" si="50"/>
        <v>0</v>
      </c>
      <c r="G204" s="299">
        <f t="shared" si="50"/>
        <v>0</v>
      </c>
      <c r="H204" s="300">
        <f t="shared" si="50"/>
        <v>0</v>
      </c>
      <c r="I204" s="305">
        <f t="shared" si="50"/>
        <v>0</v>
      </c>
      <c r="J204" s="306">
        <f t="shared" si="52"/>
        <v>0</v>
      </c>
      <c r="K204" s="299"/>
      <c r="L204" s="300">
        <f t="shared" si="53"/>
        <v>-51056.132542037587</v>
      </c>
      <c r="M204" s="305">
        <f t="shared" si="59"/>
        <v>229661.80645542557</v>
      </c>
      <c r="N204" s="307">
        <f t="shared" si="54"/>
        <v>178605.67391338799</v>
      </c>
      <c r="O204" s="299"/>
      <c r="P204" s="308" t="str">
        <f>Données!AC204</f>
        <v/>
      </c>
      <c r="Q204" s="304" t="str">
        <f>Données!AD204</f>
        <v/>
      </c>
      <c r="R204" s="299">
        <f t="shared" si="57"/>
        <v>0</v>
      </c>
      <c r="S204" s="305">
        <f t="shared" si="58"/>
        <v>0</v>
      </c>
      <c r="T204" s="299">
        <f t="shared" si="60"/>
        <v>38641.871236213803</v>
      </c>
      <c r="U204" s="309">
        <f t="shared" si="55"/>
        <v>38641.871236213803</v>
      </c>
    </row>
    <row r="205" spans="1:21" x14ac:dyDescent="0.25">
      <c r="A205" s="156">
        <f>Données!A205</f>
        <v>5743</v>
      </c>
      <c r="B205" s="157" t="str">
        <f>Données!B205</f>
        <v>Arnex-sur-Orbe</v>
      </c>
      <c r="C205" s="304">
        <f>Données!C205</f>
        <v>698</v>
      </c>
      <c r="D205" s="300">
        <f t="shared" si="51"/>
        <v>698</v>
      </c>
      <c r="E205" s="300">
        <f t="shared" si="56"/>
        <v>0</v>
      </c>
      <c r="F205" s="305">
        <f t="shared" si="50"/>
        <v>0</v>
      </c>
      <c r="G205" s="299">
        <f t="shared" si="50"/>
        <v>0</v>
      </c>
      <c r="H205" s="300">
        <f t="shared" si="50"/>
        <v>0</v>
      </c>
      <c r="I205" s="305">
        <f t="shared" si="50"/>
        <v>0</v>
      </c>
      <c r="J205" s="306">
        <f t="shared" si="52"/>
        <v>0</v>
      </c>
      <c r="K205" s="299"/>
      <c r="L205" s="300">
        <f t="shared" si="53"/>
        <v>-93291.048466864493</v>
      </c>
      <c r="M205" s="305">
        <f t="shared" si="59"/>
        <v>419643.82436096086</v>
      </c>
      <c r="N205" s="307">
        <f t="shared" si="54"/>
        <v>326352.77589409635</v>
      </c>
      <c r="O205" s="299"/>
      <c r="P205" s="308" t="str">
        <f>Données!AC205</f>
        <v/>
      </c>
      <c r="Q205" s="304" t="str">
        <f>Données!AD205</f>
        <v/>
      </c>
      <c r="R205" s="299">
        <f t="shared" si="57"/>
        <v>0</v>
      </c>
      <c r="S205" s="305">
        <f t="shared" si="58"/>
        <v>0</v>
      </c>
      <c r="T205" s="299">
        <f t="shared" si="60"/>
        <v>70607.398227427315</v>
      </c>
      <c r="U205" s="309">
        <f t="shared" si="55"/>
        <v>70607.398227427315</v>
      </c>
    </row>
    <row r="206" spans="1:21" x14ac:dyDescent="0.25">
      <c r="A206" s="156">
        <f>Données!A206</f>
        <v>5744</v>
      </c>
      <c r="B206" s="157" t="str">
        <f>Données!B206</f>
        <v>Ballaigues</v>
      </c>
      <c r="C206" s="304">
        <f>Données!C206</f>
        <v>1217</v>
      </c>
      <c r="D206" s="300">
        <f t="shared" si="51"/>
        <v>1000</v>
      </c>
      <c r="E206" s="300">
        <f t="shared" si="56"/>
        <v>217</v>
      </c>
      <c r="F206" s="305">
        <f t="shared" ref="F206:I215" si="61">IF($C206&lt;F$4,0,IF($C206&gt;F$5,F$5-F$4,$C206-F$4))</f>
        <v>0</v>
      </c>
      <c r="G206" s="299">
        <f t="shared" si="61"/>
        <v>0</v>
      </c>
      <c r="H206" s="300">
        <f t="shared" si="61"/>
        <v>0</v>
      </c>
      <c r="I206" s="305">
        <f t="shared" si="61"/>
        <v>0</v>
      </c>
      <c r="J206" s="306">
        <f t="shared" si="52"/>
        <v>0</v>
      </c>
      <c r="K206" s="299"/>
      <c r="L206" s="300">
        <f t="shared" si="53"/>
        <v>-214863.45202769534</v>
      </c>
      <c r="M206" s="305">
        <f t="shared" si="59"/>
        <v>731671.25250327995</v>
      </c>
      <c r="N206" s="307">
        <f t="shared" si="54"/>
        <v>516807.80047558458</v>
      </c>
      <c r="O206" s="299"/>
      <c r="P206" s="308" t="str">
        <f>Données!AC206</f>
        <v/>
      </c>
      <c r="Q206" s="304" t="str">
        <f>Données!AD206</f>
        <v/>
      </c>
      <c r="R206" s="299">
        <f t="shared" si="57"/>
        <v>0</v>
      </c>
      <c r="S206" s="305">
        <f t="shared" si="58"/>
        <v>0</v>
      </c>
      <c r="T206" s="299">
        <f t="shared" si="60"/>
        <v>123107.74160856596</v>
      </c>
      <c r="U206" s="309">
        <f t="shared" si="55"/>
        <v>123107.74160856596</v>
      </c>
    </row>
    <row r="207" spans="1:21" x14ac:dyDescent="0.25">
      <c r="A207" s="156">
        <f>Données!A207</f>
        <v>5745</v>
      </c>
      <c r="B207" s="157" t="str">
        <f>Données!B207</f>
        <v>Baulmes</v>
      </c>
      <c r="C207" s="304">
        <f>Données!C207</f>
        <v>1189</v>
      </c>
      <c r="D207" s="300">
        <f t="shared" si="51"/>
        <v>1000</v>
      </c>
      <c r="E207" s="300">
        <f t="shared" si="56"/>
        <v>189</v>
      </c>
      <c r="F207" s="305">
        <f t="shared" si="61"/>
        <v>0</v>
      </c>
      <c r="G207" s="299">
        <f t="shared" si="61"/>
        <v>0</v>
      </c>
      <c r="H207" s="300">
        <f t="shared" si="61"/>
        <v>0</v>
      </c>
      <c r="I207" s="305">
        <f t="shared" si="61"/>
        <v>0</v>
      </c>
      <c r="J207" s="306">
        <f t="shared" si="52"/>
        <v>0</v>
      </c>
      <c r="K207" s="299"/>
      <c r="L207" s="300">
        <f t="shared" si="53"/>
        <v>-204384.91592482687</v>
      </c>
      <c r="M207" s="305">
        <f t="shared" si="59"/>
        <v>714837.40281544765</v>
      </c>
      <c r="N207" s="307">
        <f t="shared" si="54"/>
        <v>510452.48689062078</v>
      </c>
      <c r="O207" s="299"/>
      <c r="P207" s="308" t="str">
        <f>Données!AC207</f>
        <v/>
      </c>
      <c r="Q207" s="304" t="str">
        <f>Données!AD207</f>
        <v/>
      </c>
      <c r="R207" s="299">
        <f t="shared" si="57"/>
        <v>0</v>
      </c>
      <c r="S207" s="305">
        <f t="shared" si="58"/>
        <v>0</v>
      </c>
      <c r="T207" s="299">
        <f t="shared" si="60"/>
        <v>120275.35314099008</v>
      </c>
      <c r="U207" s="309">
        <f t="shared" si="55"/>
        <v>120275.35314099008</v>
      </c>
    </row>
    <row r="208" spans="1:21" x14ac:dyDescent="0.25">
      <c r="A208" s="156">
        <f>Données!A208</f>
        <v>5746</v>
      </c>
      <c r="B208" s="157" t="str">
        <f>Données!B208</f>
        <v>Bavois</v>
      </c>
      <c r="C208" s="304">
        <f>Données!C208</f>
        <v>1055</v>
      </c>
      <c r="D208" s="300">
        <f t="shared" si="51"/>
        <v>1000</v>
      </c>
      <c r="E208" s="300">
        <f t="shared" si="56"/>
        <v>55</v>
      </c>
      <c r="F208" s="305">
        <f t="shared" si="61"/>
        <v>0</v>
      </c>
      <c r="G208" s="299">
        <f t="shared" si="61"/>
        <v>0</v>
      </c>
      <c r="H208" s="300">
        <f t="shared" si="61"/>
        <v>0</v>
      </c>
      <c r="I208" s="305">
        <f t="shared" si="61"/>
        <v>0</v>
      </c>
      <c r="J208" s="306">
        <f t="shared" si="52"/>
        <v>0</v>
      </c>
      <c r="K208" s="299"/>
      <c r="L208" s="300">
        <f t="shared" si="53"/>
        <v>-154237.63600395646</v>
      </c>
      <c r="M208" s="305">
        <f t="shared" si="59"/>
        <v>634275.40788082196</v>
      </c>
      <c r="N208" s="307">
        <f t="shared" si="54"/>
        <v>480037.77187686553</v>
      </c>
      <c r="O208" s="299"/>
      <c r="P208" s="308" t="str">
        <f>Données!AC208</f>
        <v/>
      </c>
      <c r="Q208" s="304" t="str">
        <f>Données!AD208</f>
        <v/>
      </c>
      <c r="R208" s="299">
        <f t="shared" si="57"/>
        <v>0</v>
      </c>
      <c r="S208" s="305">
        <f t="shared" si="58"/>
        <v>0</v>
      </c>
      <c r="T208" s="299">
        <f t="shared" si="60"/>
        <v>106720.3511890198</v>
      </c>
      <c r="U208" s="309">
        <f t="shared" si="55"/>
        <v>106720.3511890198</v>
      </c>
    </row>
    <row r="209" spans="1:21" x14ac:dyDescent="0.25">
      <c r="A209" s="156">
        <f>Données!A209</f>
        <v>5747</v>
      </c>
      <c r="B209" s="157" t="str">
        <f>Données!B209</f>
        <v>Bofflens</v>
      </c>
      <c r="C209" s="304">
        <f>Données!C209</f>
        <v>201</v>
      </c>
      <c r="D209" s="300">
        <f t="shared" si="51"/>
        <v>201</v>
      </c>
      <c r="E209" s="300">
        <f t="shared" si="56"/>
        <v>0</v>
      </c>
      <c r="F209" s="305">
        <f t="shared" si="61"/>
        <v>0</v>
      </c>
      <c r="G209" s="299">
        <f t="shared" si="61"/>
        <v>0</v>
      </c>
      <c r="H209" s="300">
        <f t="shared" si="61"/>
        <v>0</v>
      </c>
      <c r="I209" s="305">
        <f t="shared" si="61"/>
        <v>0</v>
      </c>
      <c r="J209" s="306">
        <f t="shared" si="52"/>
        <v>0</v>
      </c>
      <c r="K209" s="299"/>
      <c r="L209" s="300">
        <f t="shared" si="53"/>
        <v>-26864.614243323442</v>
      </c>
      <c r="M209" s="305">
        <f t="shared" si="59"/>
        <v>120842.99240193859</v>
      </c>
      <c r="N209" s="307">
        <f t="shared" si="54"/>
        <v>93978.378158615145</v>
      </c>
      <c r="O209" s="299"/>
      <c r="P209" s="308" t="str">
        <f>Données!AC209</f>
        <v/>
      </c>
      <c r="Q209" s="304" t="str">
        <f>Données!AD209</f>
        <v/>
      </c>
      <c r="R209" s="299">
        <f t="shared" si="57"/>
        <v>0</v>
      </c>
      <c r="S209" s="305">
        <f t="shared" si="58"/>
        <v>0</v>
      </c>
      <c r="T209" s="299">
        <f t="shared" si="60"/>
        <v>20332.502927955429</v>
      </c>
      <c r="U209" s="309">
        <f t="shared" si="55"/>
        <v>20332.502927955429</v>
      </c>
    </row>
    <row r="210" spans="1:21" x14ac:dyDescent="0.25">
      <c r="A210" s="156">
        <f>Données!A210</f>
        <v>5748</v>
      </c>
      <c r="B210" s="157" t="str">
        <f>Données!B210</f>
        <v>Bretonnières</v>
      </c>
      <c r="C210" s="304">
        <f>Données!C210</f>
        <v>265</v>
      </c>
      <c r="D210" s="300">
        <f t="shared" si="51"/>
        <v>265</v>
      </c>
      <c r="E210" s="300">
        <f t="shared" si="56"/>
        <v>0</v>
      </c>
      <c r="F210" s="305">
        <f t="shared" si="61"/>
        <v>0</v>
      </c>
      <c r="G210" s="299">
        <f t="shared" si="61"/>
        <v>0</v>
      </c>
      <c r="H210" s="300">
        <f t="shared" si="61"/>
        <v>0</v>
      </c>
      <c r="I210" s="305">
        <f t="shared" si="61"/>
        <v>0</v>
      </c>
      <c r="J210" s="306">
        <f t="shared" si="52"/>
        <v>0</v>
      </c>
      <c r="K210" s="299"/>
      <c r="L210" s="300">
        <f t="shared" si="53"/>
        <v>-35418.521266073192</v>
      </c>
      <c r="M210" s="305">
        <f t="shared" si="59"/>
        <v>159320.3631169837</v>
      </c>
      <c r="N210" s="307">
        <f t="shared" si="54"/>
        <v>123901.84185091051</v>
      </c>
      <c r="O210" s="299"/>
      <c r="P210" s="308" t="str">
        <f>Données!AC210</f>
        <v/>
      </c>
      <c r="Q210" s="304" t="str">
        <f>Données!AD210</f>
        <v/>
      </c>
      <c r="R210" s="299">
        <f t="shared" si="57"/>
        <v>0</v>
      </c>
      <c r="S210" s="305">
        <f t="shared" si="58"/>
        <v>0</v>
      </c>
      <c r="T210" s="299">
        <f t="shared" si="60"/>
        <v>26806.533710986016</v>
      </c>
      <c r="U210" s="309">
        <f t="shared" si="55"/>
        <v>26806.533710986016</v>
      </c>
    </row>
    <row r="211" spans="1:21" x14ac:dyDescent="0.25">
      <c r="A211" s="156">
        <f>Données!A211</f>
        <v>5749</v>
      </c>
      <c r="B211" s="157" t="str">
        <f>Données!B211</f>
        <v>Chavornay</v>
      </c>
      <c r="C211" s="304">
        <f>Données!C211</f>
        <v>5374</v>
      </c>
      <c r="D211" s="300">
        <f t="shared" si="51"/>
        <v>1000</v>
      </c>
      <c r="E211" s="300">
        <f t="shared" si="56"/>
        <v>2000</v>
      </c>
      <c r="F211" s="305">
        <f t="shared" si="61"/>
        <v>2374</v>
      </c>
      <c r="G211" s="299">
        <f t="shared" si="61"/>
        <v>0</v>
      </c>
      <c r="H211" s="300">
        <f t="shared" si="61"/>
        <v>0</v>
      </c>
      <c r="I211" s="305">
        <f t="shared" si="61"/>
        <v>0</v>
      </c>
      <c r="J211" s="306">
        <f t="shared" si="52"/>
        <v>0</v>
      </c>
      <c r="K211" s="299"/>
      <c r="L211" s="300">
        <f t="shared" si="53"/>
        <v>-2468604.1048466866</v>
      </c>
      <c r="M211" s="305">
        <f t="shared" si="59"/>
        <v>3230896.7222289452</v>
      </c>
      <c r="N211" s="307">
        <f t="shared" si="54"/>
        <v>762292.61738225864</v>
      </c>
      <c r="O211" s="299"/>
      <c r="P211" s="308" t="str">
        <f>Données!AC211</f>
        <v/>
      </c>
      <c r="Q211" s="304" t="str">
        <f>Données!AD211</f>
        <v/>
      </c>
      <c r="R211" s="299">
        <f t="shared" si="57"/>
        <v>0</v>
      </c>
      <c r="S211" s="305">
        <f t="shared" si="58"/>
        <v>0</v>
      </c>
      <c r="T211" s="299">
        <f t="shared" si="60"/>
        <v>543616.27231259935</v>
      </c>
      <c r="U211" s="309">
        <f t="shared" si="55"/>
        <v>543616.27231259935</v>
      </c>
    </row>
    <row r="212" spans="1:21" x14ac:dyDescent="0.25">
      <c r="A212" s="156">
        <f>Données!A212</f>
        <v>5750</v>
      </c>
      <c r="B212" s="157" t="str">
        <f>Données!B212</f>
        <v>Les Clées</v>
      </c>
      <c r="C212" s="304">
        <f>Données!C212</f>
        <v>195</v>
      </c>
      <c r="D212" s="300">
        <f t="shared" si="51"/>
        <v>195</v>
      </c>
      <c r="E212" s="300">
        <f t="shared" si="56"/>
        <v>0</v>
      </c>
      <c r="F212" s="305">
        <f t="shared" si="61"/>
        <v>0</v>
      </c>
      <c r="G212" s="299">
        <f t="shared" si="61"/>
        <v>0</v>
      </c>
      <c r="H212" s="300">
        <f t="shared" si="61"/>
        <v>0</v>
      </c>
      <c r="I212" s="305">
        <f t="shared" si="61"/>
        <v>0</v>
      </c>
      <c r="J212" s="306">
        <f t="shared" si="52"/>
        <v>0</v>
      </c>
      <c r="K212" s="299"/>
      <c r="L212" s="300">
        <f t="shared" si="53"/>
        <v>-26062.685459940651</v>
      </c>
      <c r="M212" s="305">
        <f t="shared" si="59"/>
        <v>117235.73889740311</v>
      </c>
      <c r="N212" s="307">
        <f t="shared" si="54"/>
        <v>91173.053437462455</v>
      </c>
      <c r="O212" s="299"/>
      <c r="P212" s="308" t="str">
        <f>Données!AC212</f>
        <v/>
      </c>
      <c r="Q212" s="304" t="str">
        <f>Données!AD212</f>
        <v/>
      </c>
      <c r="R212" s="299">
        <f t="shared" si="57"/>
        <v>0</v>
      </c>
      <c r="S212" s="305">
        <f t="shared" si="58"/>
        <v>0</v>
      </c>
      <c r="T212" s="299">
        <f t="shared" si="60"/>
        <v>19725.562542046311</v>
      </c>
      <c r="U212" s="309">
        <f t="shared" si="55"/>
        <v>19725.562542046311</v>
      </c>
    </row>
    <row r="213" spans="1:21" x14ac:dyDescent="0.25">
      <c r="A213" s="156">
        <f>Données!A213</f>
        <v>5752</v>
      </c>
      <c r="B213" s="157" t="str">
        <f>Données!B213</f>
        <v>Croy</v>
      </c>
      <c r="C213" s="304">
        <f>Données!C213</f>
        <v>408</v>
      </c>
      <c r="D213" s="300">
        <f t="shared" si="51"/>
        <v>408</v>
      </c>
      <c r="E213" s="300">
        <f t="shared" si="56"/>
        <v>0</v>
      </c>
      <c r="F213" s="305">
        <f t="shared" si="61"/>
        <v>0</v>
      </c>
      <c r="G213" s="299">
        <f t="shared" si="61"/>
        <v>0</v>
      </c>
      <c r="H213" s="300">
        <f t="shared" si="61"/>
        <v>0</v>
      </c>
      <c r="I213" s="305">
        <f t="shared" si="61"/>
        <v>0</v>
      </c>
      <c r="J213" s="306">
        <f t="shared" si="52"/>
        <v>0</v>
      </c>
      <c r="K213" s="299"/>
      <c r="L213" s="300">
        <f t="shared" si="53"/>
        <v>-54531.157270029667</v>
      </c>
      <c r="M213" s="305">
        <f t="shared" si="59"/>
        <v>245293.23830841266</v>
      </c>
      <c r="N213" s="307">
        <f t="shared" si="54"/>
        <v>190762.08103838301</v>
      </c>
      <c r="O213" s="299"/>
      <c r="P213" s="308" t="str">
        <f>Données!AC213</f>
        <v/>
      </c>
      <c r="Q213" s="304" t="str">
        <f>Données!AD213</f>
        <v/>
      </c>
      <c r="R213" s="299">
        <f t="shared" si="57"/>
        <v>0</v>
      </c>
      <c r="S213" s="305">
        <f t="shared" si="58"/>
        <v>0</v>
      </c>
      <c r="T213" s="299">
        <f t="shared" si="60"/>
        <v>41271.946241819976</v>
      </c>
      <c r="U213" s="309">
        <f t="shared" si="55"/>
        <v>41271.946241819976</v>
      </c>
    </row>
    <row r="214" spans="1:21" x14ac:dyDescent="0.25">
      <c r="A214" s="156">
        <f>Données!A214</f>
        <v>5754</v>
      </c>
      <c r="B214" s="157" t="str">
        <f>Données!B214</f>
        <v>Juriens</v>
      </c>
      <c r="C214" s="304">
        <f>Données!C214</f>
        <v>345</v>
      </c>
      <c r="D214" s="300">
        <f t="shared" si="51"/>
        <v>345</v>
      </c>
      <c r="E214" s="300">
        <f t="shared" si="56"/>
        <v>0</v>
      </c>
      <c r="F214" s="305">
        <f t="shared" si="61"/>
        <v>0</v>
      </c>
      <c r="G214" s="299">
        <f t="shared" si="61"/>
        <v>0</v>
      </c>
      <c r="H214" s="300">
        <f t="shared" si="61"/>
        <v>0</v>
      </c>
      <c r="I214" s="305">
        <f t="shared" si="61"/>
        <v>0</v>
      </c>
      <c r="J214" s="306">
        <f t="shared" si="52"/>
        <v>0</v>
      </c>
      <c r="K214" s="299"/>
      <c r="L214" s="300">
        <f t="shared" si="53"/>
        <v>-46110.905044510386</v>
      </c>
      <c r="M214" s="305">
        <f t="shared" si="59"/>
        <v>207417.07651079012</v>
      </c>
      <c r="N214" s="307">
        <f t="shared" si="54"/>
        <v>161306.17146627975</v>
      </c>
      <c r="O214" s="299"/>
      <c r="P214" s="308" t="str">
        <f>Données!AC214</f>
        <v/>
      </c>
      <c r="Q214" s="304" t="str">
        <f>Données!AD214</f>
        <v/>
      </c>
      <c r="R214" s="299">
        <f t="shared" si="57"/>
        <v>0</v>
      </c>
      <c r="S214" s="305">
        <f t="shared" si="58"/>
        <v>0</v>
      </c>
      <c r="T214" s="299">
        <f t="shared" si="60"/>
        <v>34899.072189774248</v>
      </c>
      <c r="U214" s="309">
        <f t="shared" si="55"/>
        <v>34899.072189774248</v>
      </c>
    </row>
    <row r="215" spans="1:21" x14ac:dyDescent="0.25">
      <c r="A215" s="156">
        <f>Données!A215</f>
        <v>5755</v>
      </c>
      <c r="B215" s="157" t="str">
        <f>Données!B215</f>
        <v>Lignerolle</v>
      </c>
      <c r="C215" s="304">
        <f>Données!C215</f>
        <v>452</v>
      </c>
      <c r="D215" s="300">
        <f t="shared" si="51"/>
        <v>452</v>
      </c>
      <c r="E215" s="300">
        <f t="shared" si="56"/>
        <v>0</v>
      </c>
      <c r="F215" s="305">
        <f t="shared" si="61"/>
        <v>0</v>
      </c>
      <c r="G215" s="299">
        <f t="shared" si="61"/>
        <v>0</v>
      </c>
      <c r="H215" s="300">
        <f t="shared" si="61"/>
        <v>0</v>
      </c>
      <c r="I215" s="305">
        <f t="shared" si="61"/>
        <v>0</v>
      </c>
      <c r="J215" s="306">
        <f t="shared" si="52"/>
        <v>0</v>
      </c>
      <c r="K215" s="299"/>
      <c r="L215" s="300">
        <f t="shared" si="53"/>
        <v>-60411.968348170129</v>
      </c>
      <c r="M215" s="305">
        <f t="shared" si="59"/>
        <v>271746.43067500618</v>
      </c>
      <c r="N215" s="307">
        <f t="shared" si="54"/>
        <v>211334.46232683604</v>
      </c>
      <c r="O215" s="299"/>
      <c r="P215" s="308" t="str">
        <f>Données!AC215</f>
        <v/>
      </c>
      <c r="Q215" s="304" t="str">
        <f>Données!AD215</f>
        <v/>
      </c>
      <c r="R215" s="299">
        <f t="shared" si="57"/>
        <v>0</v>
      </c>
      <c r="S215" s="305">
        <f t="shared" si="58"/>
        <v>0</v>
      </c>
      <c r="T215" s="299">
        <f t="shared" si="60"/>
        <v>45722.842405153504</v>
      </c>
      <c r="U215" s="309">
        <f t="shared" si="55"/>
        <v>45722.842405153504</v>
      </c>
    </row>
    <row r="216" spans="1:21" x14ac:dyDescent="0.25">
      <c r="A216" s="156">
        <f>Données!A216</f>
        <v>5756</v>
      </c>
      <c r="B216" s="157" t="str">
        <f>Données!B216</f>
        <v>Montcherand</v>
      </c>
      <c r="C216" s="304">
        <f>Données!C216</f>
        <v>494</v>
      </c>
      <c r="D216" s="300">
        <f t="shared" si="51"/>
        <v>494</v>
      </c>
      <c r="E216" s="300">
        <f t="shared" si="56"/>
        <v>0</v>
      </c>
      <c r="F216" s="305">
        <f t="shared" ref="F216:I225" si="62">IF($C216&lt;F$4,0,IF($C216&gt;F$5,F$5-F$4,$C216-F$4))</f>
        <v>0</v>
      </c>
      <c r="G216" s="299">
        <f t="shared" si="62"/>
        <v>0</v>
      </c>
      <c r="H216" s="300">
        <f t="shared" si="62"/>
        <v>0</v>
      </c>
      <c r="I216" s="305">
        <f t="shared" si="62"/>
        <v>0</v>
      </c>
      <c r="J216" s="306">
        <f t="shared" si="52"/>
        <v>0</v>
      </c>
      <c r="K216" s="299"/>
      <c r="L216" s="300">
        <f t="shared" si="53"/>
        <v>-66025.469831849652</v>
      </c>
      <c r="M216" s="305">
        <f t="shared" si="59"/>
        <v>296997.20520675456</v>
      </c>
      <c r="N216" s="307">
        <f t="shared" si="54"/>
        <v>230971.73537490491</v>
      </c>
      <c r="O216" s="299"/>
      <c r="P216" s="308" t="str">
        <f>Données!AC216</f>
        <v/>
      </c>
      <c r="Q216" s="304" t="str">
        <f>Données!AD216</f>
        <v/>
      </c>
      <c r="R216" s="299">
        <f t="shared" si="57"/>
        <v>0</v>
      </c>
      <c r="S216" s="305">
        <f t="shared" si="58"/>
        <v>0</v>
      </c>
      <c r="T216" s="299">
        <f t="shared" si="60"/>
        <v>49971.425106517323</v>
      </c>
      <c r="U216" s="309">
        <f t="shared" si="55"/>
        <v>49971.425106517323</v>
      </c>
    </row>
    <row r="217" spans="1:21" x14ac:dyDescent="0.25">
      <c r="A217" s="156">
        <f>Données!A217</f>
        <v>5757</v>
      </c>
      <c r="B217" s="157" t="str">
        <f>Données!B217</f>
        <v>Orbe</v>
      </c>
      <c r="C217" s="304">
        <f>Données!C217</f>
        <v>8008</v>
      </c>
      <c r="D217" s="300">
        <f t="shared" si="51"/>
        <v>1000</v>
      </c>
      <c r="E217" s="300">
        <f t="shared" si="56"/>
        <v>2000</v>
      </c>
      <c r="F217" s="305">
        <f t="shared" si="62"/>
        <v>5008</v>
      </c>
      <c r="G217" s="299">
        <f t="shared" si="62"/>
        <v>0</v>
      </c>
      <c r="H217" s="300">
        <f t="shared" si="62"/>
        <v>0</v>
      </c>
      <c r="I217" s="305">
        <f t="shared" si="62"/>
        <v>0</v>
      </c>
      <c r="J217" s="306">
        <f t="shared" si="52"/>
        <v>0</v>
      </c>
      <c r="K217" s="299"/>
      <c r="L217" s="300">
        <f t="shared" si="53"/>
        <v>-4228837.7843719088</v>
      </c>
      <c r="M217" s="305">
        <f t="shared" si="59"/>
        <v>4814481.0107200211</v>
      </c>
      <c r="N217" s="307">
        <f t="shared" si="54"/>
        <v>585643.22634811234</v>
      </c>
      <c r="O217" s="299"/>
      <c r="P217" s="308">
        <f>Données!AC217</f>
        <v>343624</v>
      </c>
      <c r="Q217" s="304">
        <f>Données!AD217</f>
        <v>13294.599999999977</v>
      </c>
      <c r="R217" s="299">
        <f t="shared" si="57"/>
        <v>356918.6</v>
      </c>
      <c r="S217" s="305">
        <f t="shared" si="58"/>
        <v>-214151.15999999997</v>
      </c>
      <c r="T217" s="299">
        <f t="shared" si="60"/>
        <v>810063.10172670195</v>
      </c>
      <c r="U217" s="309">
        <f t="shared" si="55"/>
        <v>595911.94172670203</v>
      </c>
    </row>
    <row r="218" spans="1:21" x14ac:dyDescent="0.25">
      <c r="A218" s="156">
        <f>Données!A218</f>
        <v>5758</v>
      </c>
      <c r="B218" s="157" t="str">
        <f>Données!B218</f>
        <v>La Praz</v>
      </c>
      <c r="C218" s="304">
        <f>Données!C218</f>
        <v>214</v>
      </c>
      <c r="D218" s="300">
        <f t="shared" si="51"/>
        <v>214</v>
      </c>
      <c r="E218" s="300">
        <f t="shared" si="56"/>
        <v>0</v>
      </c>
      <c r="F218" s="305">
        <f t="shared" si="62"/>
        <v>0</v>
      </c>
      <c r="G218" s="299">
        <f t="shared" si="62"/>
        <v>0</v>
      </c>
      <c r="H218" s="300">
        <f t="shared" si="62"/>
        <v>0</v>
      </c>
      <c r="I218" s="305">
        <f t="shared" si="62"/>
        <v>0</v>
      </c>
      <c r="J218" s="306">
        <f t="shared" si="52"/>
        <v>0</v>
      </c>
      <c r="K218" s="299"/>
      <c r="L218" s="300">
        <f t="shared" si="53"/>
        <v>-28602.126607319486</v>
      </c>
      <c r="M218" s="305">
        <f t="shared" si="59"/>
        <v>128658.70832843213</v>
      </c>
      <c r="N218" s="307">
        <f t="shared" si="54"/>
        <v>100056.58172111264</v>
      </c>
      <c r="O218" s="299"/>
      <c r="P218" s="308" t="str">
        <f>Données!AC218</f>
        <v/>
      </c>
      <c r="Q218" s="304" t="str">
        <f>Données!AD218</f>
        <v/>
      </c>
      <c r="R218" s="299">
        <f t="shared" si="57"/>
        <v>0</v>
      </c>
      <c r="S218" s="305">
        <f t="shared" si="58"/>
        <v>0</v>
      </c>
      <c r="T218" s="299">
        <f t="shared" si="60"/>
        <v>21647.540430758516</v>
      </c>
      <c r="U218" s="309">
        <f t="shared" si="55"/>
        <v>21647.540430758516</v>
      </c>
    </row>
    <row r="219" spans="1:21" x14ac:dyDescent="0.25">
      <c r="A219" s="156">
        <f>Données!A219</f>
        <v>5759</v>
      </c>
      <c r="B219" s="157" t="str">
        <f>Données!B219</f>
        <v>Premier</v>
      </c>
      <c r="C219" s="304">
        <f>Données!C219</f>
        <v>233</v>
      </c>
      <c r="D219" s="300">
        <f t="shared" si="51"/>
        <v>233</v>
      </c>
      <c r="E219" s="300">
        <f t="shared" si="56"/>
        <v>0</v>
      </c>
      <c r="F219" s="305">
        <f t="shared" si="62"/>
        <v>0</v>
      </c>
      <c r="G219" s="299">
        <f t="shared" si="62"/>
        <v>0</v>
      </c>
      <c r="H219" s="300">
        <f t="shared" si="62"/>
        <v>0</v>
      </c>
      <c r="I219" s="305">
        <f t="shared" si="62"/>
        <v>0</v>
      </c>
      <c r="J219" s="306">
        <f t="shared" si="52"/>
        <v>0</v>
      </c>
      <c r="K219" s="299"/>
      <c r="L219" s="300">
        <f t="shared" si="53"/>
        <v>-31141.567754698317</v>
      </c>
      <c r="M219" s="305">
        <f t="shared" si="59"/>
        <v>140081.67775946116</v>
      </c>
      <c r="N219" s="307">
        <f t="shared" si="54"/>
        <v>108940.11000476284</v>
      </c>
      <c r="O219" s="299"/>
      <c r="P219" s="308" t="str">
        <f>Données!AC219</f>
        <v/>
      </c>
      <c r="Q219" s="304" t="str">
        <f>Données!AD219</f>
        <v/>
      </c>
      <c r="R219" s="299">
        <f t="shared" si="57"/>
        <v>0</v>
      </c>
      <c r="S219" s="305">
        <f t="shared" si="58"/>
        <v>0</v>
      </c>
      <c r="T219" s="299">
        <f t="shared" si="60"/>
        <v>23569.518319470721</v>
      </c>
      <c r="U219" s="309">
        <f t="shared" si="55"/>
        <v>23569.518319470721</v>
      </c>
    </row>
    <row r="220" spans="1:21" x14ac:dyDescent="0.25">
      <c r="A220" s="156">
        <f>Données!A220</f>
        <v>5760</v>
      </c>
      <c r="B220" s="157" t="str">
        <f>Données!B220</f>
        <v>Rances</v>
      </c>
      <c r="C220" s="304">
        <f>Données!C220</f>
        <v>513</v>
      </c>
      <c r="D220" s="300">
        <f t="shared" si="51"/>
        <v>513</v>
      </c>
      <c r="E220" s="300">
        <f t="shared" si="56"/>
        <v>0</v>
      </c>
      <c r="F220" s="305">
        <f t="shared" si="62"/>
        <v>0</v>
      </c>
      <c r="G220" s="299">
        <f t="shared" si="62"/>
        <v>0</v>
      </c>
      <c r="H220" s="300">
        <f t="shared" si="62"/>
        <v>0</v>
      </c>
      <c r="I220" s="305">
        <f t="shared" si="62"/>
        <v>0</v>
      </c>
      <c r="J220" s="306">
        <f t="shared" si="52"/>
        <v>0</v>
      </c>
      <c r="K220" s="299"/>
      <c r="L220" s="300">
        <f t="shared" si="53"/>
        <v>-68564.910979228487</v>
      </c>
      <c r="M220" s="305">
        <f t="shared" si="59"/>
        <v>308420.17463778355</v>
      </c>
      <c r="N220" s="307">
        <f t="shared" si="54"/>
        <v>239855.26365855505</v>
      </c>
      <c r="O220" s="299"/>
      <c r="P220" s="308" t="str">
        <f>Données!AC220</f>
        <v/>
      </c>
      <c r="Q220" s="304" t="str">
        <f>Données!AD220</f>
        <v/>
      </c>
      <c r="R220" s="299">
        <f t="shared" si="57"/>
        <v>0</v>
      </c>
      <c r="S220" s="305">
        <f t="shared" si="58"/>
        <v>0</v>
      </c>
      <c r="T220" s="299">
        <f t="shared" si="60"/>
        <v>51893.402995229531</v>
      </c>
      <c r="U220" s="309">
        <f t="shared" si="55"/>
        <v>51893.402995229531</v>
      </c>
    </row>
    <row r="221" spans="1:21" x14ac:dyDescent="0.25">
      <c r="A221" s="156">
        <f>Données!A221</f>
        <v>5761</v>
      </c>
      <c r="B221" s="157" t="str">
        <f>Données!B221</f>
        <v>Romainmôtier-Envy</v>
      </c>
      <c r="C221" s="304">
        <f>Données!C221</f>
        <v>579</v>
      </c>
      <c r="D221" s="300">
        <f t="shared" si="51"/>
        <v>579</v>
      </c>
      <c r="E221" s="300">
        <f t="shared" si="56"/>
        <v>0</v>
      </c>
      <c r="F221" s="305">
        <f t="shared" si="62"/>
        <v>0</v>
      </c>
      <c r="G221" s="299">
        <f t="shared" si="62"/>
        <v>0</v>
      </c>
      <c r="H221" s="300">
        <f t="shared" si="62"/>
        <v>0</v>
      </c>
      <c r="I221" s="305">
        <f t="shared" si="62"/>
        <v>0</v>
      </c>
      <c r="J221" s="306">
        <f t="shared" si="52"/>
        <v>0</v>
      </c>
      <c r="K221" s="299"/>
      <c r="L221" s="300">
        <f t="shared" si="53"/>
        <v>-77386.127596439168</v>
      </c>
      <c r="M221" s="305">
        <f t="shared" si="59"/>
        <v>348099.96318767383</v>
      </c>
      <c r="N221" s="307">
        <f t="shared" si="54"/>
        <v>270713.83559123467</v>
      </c>
      <c r="O221" s="299"/>
      <c r="P221" s="308" t="str">
        <f>Données!AC221</f>
        <v/>
      </c>
      <c r="Q221" s="304" t="str">
        <f>Données!AD221</f>
        <v/>
      </c>
      <c r="R221" s="299">
        <f t="shared" si="57"/>
        <v>0</v>
      </c>
      <c r="S221" s="305">
        <f t="shared" si="58"/>
        <v>0</v>
      </c>
      <c r="T221" s="299">
        <f t="shared" si="60"/>
        <v>58569.747240229823</v>
      </c>
      <c r="U221" s="309">
        <f t="shared" si="55"/>
        <v>58569.747240229823</v>
      </c>
    </row>
    <row r="222" spans="1:21" x14ac:dyDescent="0.25">
      <c r="A222" s="156">
        <f>Données!A222</f>
        <v>5762</v>
      </c>
      <c r="B222" s="157" t="str">
        <f>Données!B222</f>
        <v>Sergey</v>
      </c>
      <c r="C222" s="304">
        <f>Données!C222</f>
        <v>165</v>
      </c>
      <c r="D222" s="300">
        <f t="shared" si="51"/>
        <v>165</v>
      </c>
      <c r="E222" s="300">
        <f t="shared" si="56"/>
        <v>0</v>
      </c>
      <c r="F222" s="305">
        <f t="shared" si="62"/>
        <v>0</v>
      </c>
      <c r="G222" s="299">
        <f t="shared" si="62"/>
        <v>0</v>
      </c>
      <c r="H222" s="300">
        <f t="shared" si="62"/>
        <v>0</v>
      </c>
      <c r="I222" s="305">
        <f t="shared" si="62"/>
        <v>0</v>
      </c>
      <c r="J222" s="306">
        <f t="shared" si="52"/>
        <v>0</v>
      </c>
      <c r="K222" s="299"/>
      <c r="L222" s="300">
        <f t="shared" si="53"/>
        <v>-22053.041543026706</v>
      </c>
      <c r="M222" s="305">
        <f t="shared" si="59"/>
        <v>99199.471374725705</v>
      </c>
      <c r="N222" s="307">
        <f t="shared" si="54"/>
        <v>77146.429831699003</v>
      </c>
      <c r="O222" s="299"/>
      <c r="P222" s="308" t="str">
        <f>Données!AC222</f>
        <v/>
      </c>
      <c r="Q222" s="304" t="str">
        <f>Données!AD222</f>
        <v/>
      </c>
      <c r="R222" s="299">
        <f t="shared" si="57"/>
        <v>0</v>
      </c>
      <c r="S222" s="305">
        <f t="shared" si="58"/>
        <v>0</v>
      </c>
      <c r="T222" s="299">
        <f t="shared" si="60"/>
        <v>16690.860612500725</v>
      </c>
      <c r="U222" s="309">
        <f t="shared" si="55"/>
        <v>16690.860612500725</v>
      </c>
    </row>
    <row r="223" spans="1:21" x14ac:dyDescent="0.25">
      <c r="A223" s="156">
        <f>Données!A223</f>
        <v>5763</v>
      </c>
      <c r="B223" s="157" t="str">
        <f>Données!B223</f>
        <v>Valeyres-sous-Rances</v>
      </c>
      <c r="C223" s="304">
        <f>Données!C223</f>
        <v>573</v>
      </c>
      <c r="D223" s="300">
        <f t="shared" si="51"/>
        <v>573</v>
      </c>
      <c r="E223" s="300">
        <f t="shared" si="56"/>
        <v>0</v>
      </c>
      <c r="F223" s="305">
        <f t="shared" si="62"/>
        <v>0</v>
      </c>
      <c r="G223" s="299">
        <f t="shared" si="62"/>
        <v>0</v>
      </c>
      <c r="H223" s="300">
        <f t="shared" si="62"/>
        <v>0</v>
      </c>
      <c r="I223" s="305">
        <f t="shared" si="62"/>
        <v>0</v>
      </c>
      <c r="J223" s="306">
        <f t="shared" si="52"/>
        <v>0</v>
      </c>
      <c r="K223" s="299"/>
      <c r="L223" s="300">
        <f t="shared" si="53"/>
        <v>-76584.19881305637</v>
      </c>
      <c r="M223" s="305">
        <f t="shared" si="59"/>
        <v>344492.70968313835</v>
      </c>
      <c r="N223" s="307">
        <f t="shared" si="54"/>
        <v>267908.51087008195</v>
      </c>
      <c r="O223" s="299"/>
      <c r="P223" s="308" t="str">
        <f>Données!AC223</f>
        <v/>
      </c>
      <c r="Q223" s="304" t="str">
        <f>Données!AD223</f>
        <v/>
      </c>
      <c r="R223" s="299">
        <f t="shared" si="57"/>
        <v>0</v>
      </c>
      <c r="S223" s="305">
        <f t="shared" si="58"/>
        <v>0</v>
      </c>
      <c r="T223" s="299">
        <f t="shared" si="60"/>
        <v>57962.806854320705</v>
      </c>
      <c r="U223" s="309">
        <f t="shared" si="55"/>
        <v>57962.806854320705</v>
      </c>
    </row>
    <row r="224" spans="1:21" x14ac:dyDescent="0.25">
      <c r="A224" s="156">
        <f>Données!A224</f>
        <v>5764</v>
      </c>
      <c r="B224" s="157" t="str">
        <f>Données!B224</f>
        <v>Vallorbe</v>
      </c>
      <c r="C224" s="304">
        <f>Données!C224</f>
        <v>4434</v>
      </c>
      <c r="D224" s="300">
        <f t="shared" si="51"/>
        <v>1000</v>
      </c>
      <c r="E224" s="300">
        <f t="shared" si="56"/>
        <v>2000</v>
      </c>
      <c r="F224" s="305">
        <f t="shared" si="62"/>
        <v>1434</v>
      </c>
      <c r="G224" s="299">
        <f t="shared" si="62"/>
        <v>0</v>
      </c>
      <c r="H224" s="300">
        <f t="shared" si="62"/>
        <v>0</v>
      </c>
      <c r="I224" s="305">
        <f t="shared" si="62"/>
        <v>0</v>
      </c>
      <c r="J224" s="306">
        <f t="shared" si="52"/>
        <v>0</v>
      </c>
      <c r="K224" s="299"/>
      <c r="L224" s="300">
        <f t="shared" si="53"/>
        <v>-1840426.5578635014</v>
      </c>
      <c r="M224" s="305">
        <f t="shared" si="59"/>
        <v>2665760.3398517198</v>
      </c>
      <c r="N224" s="307">
        <f t="shared" si="54"/>
        <v>825333.78198821843</v>
      </c>
      <c r="O224" s="299"/>
      <c r="P224" s="308" t="str">
        <f>Données!AC224</f>
        <v/>
      </c>
      <c r="Q224" s="304" t="str">
        <f>Données!AD224</f>
        <v/>
      </c>
      <c r="R224" s="299">
        <f t="shared" si="57"/>
        <v>0</v>
      </c>
      <c r="S224" s="305">
        <f t="shared" si="58"/>
        <v>0</v>
      </c>
      <c r="T224" s="299">
        <f t="shared" si="60"/>
        <v>448528.94518683769</v>
      </c>
      <c r="U224" s="309">
        <f t="shared" si="55"/>
        <v>448528.94518683769</v>
      </c>
    </row>
    <row r="225" spans="1:21" x14ac:dyDescent="0.25">
      <c r="A225" s="156">
        <f>Données!A225</f>
        <v>5765</v>
      </c>
      <c r="B225" s="157" t="str">
        <f>Données!B225</f>
        <v>Vaulion</v>
      </c>
      <c r="C225" s="304">
        <f>Données!C225</f>
        <v>500</v>
      </c>
      <c r="D225" s="300">
        <f t="shared" si="51"/>
        <v>500</v>
      </c>
      <c r="E225" s="300">
        <f t="shared" si="56"/>
        <v>0</v>
      </c>
      <c r="F225" s="305">
        <f t="shared" si="62"/>
        <v>0</v>
      </c>
      <c r="G225" s="299">
        <f t="shared" si="62"/>
        <v>0</v>
      </c>
      <c r="H225" s="300">
        <f t="shared" si="62"/>
        <v>0</v>
      </c>
      <c r="I225" s="305">
        <f t="shared" si="62"/>
        <v>0</v>
      </c>
      <c r="J225" s="306">
        <f t="shared" si="52"/>
        <v>0</v>
      </c>
      <c r="K225" s="299"/>
      <c r="L225" s="300">
        <f t="shared" si="53"/>
        <v>-66827.398615232436</v>
      </c>
      <c r="M225" s="305">
        <f t="shared" si="59"/>
        <v>300604.45871129003</v>
      </c>
      <c r="N225" s="307">
        <f t="shared" si="54"/>
        <v>233777.0600960576</v>
      </c>
      <c r="O225" s="299"/>
      <c r="P225" s="308" t="str">
        <f>Données!AC225</f>
        <v/>
      </c>
      <c r="Q225" s="304" t="str">
        <f>Données!AD225</f>
        <v/>
      </c>
      <c r="R225" s="299">
        <f t="shared" si="57"/>
        <v>0</v>
      </c>
      <c r="S225" s="305">
        <f t="shared" si="58"/>
        <v>0</v>
      </c>
      <c r="T225" s="299">
        <f t="shared" si="60"/>
        <v>50578.365492426441</v>
      </c>
      <c r="U225" s="309">
        <f t="shared" si="55"/>
        <v>50578.365492426441</v>
      </c>
    </row>
    <row r="226" spans="1:21" x14ac:dyDescent="0.25">
      <c r="A226" s="156">
        <f>Données!A226</f>
        <v>5766</v>
      </c>
      <c r="B226" s="157" t="str">
        <f>Données!B226</f>
        <v>Vuiteboeuf</v>
      </c>
      <c r="C226" s="304">
        <f>Données!C226</f>
        <v>616</v>
      </c>
      <c r="D226" s="300">
        <f t="shared" si="51"/>
        <v>616</v>
      </c>
      <c r="E226" s="300">
        <f t="shared" si="56"/>
        <v>0</v>
      </c>
      <c r="F226" s="305">
        <f t="shared" ref="F226:I235" si="63">IF($C226&lt;F$4,0,IF($C226&gt;F$5,F$5-F$4,$C226-F$4))</f>
        <v>0</v>
      </c>
      <c r="G226" s="299">
        <f t="shared" si="63"/>
        <v>0</v>
      </c>
      <c r="H226" s="300">
        <f t="shared" si="63"/>
        <v>0</v>
      </c>
      <c r="I226" s="305">
        <f t="shared" si="63"/>
        <v>0</v>
      </c>
      <c r="J226" s="306">
        <f t="shared" si="52"/>
        <v>0</v>
      </c>
      <c r="K226" s="299"/>
      <c r="L226" s="300">
        <f t="shared" si="53"/>
        <v>-82331.355093966369</v>
      </c>
      <c r="M226" s="305">
        <f t="shared" si="59"/>
        <v>370344.6931323093</v>
      </c>
      <c r="N226" s="307">
        <f t="shared" si="54"/>
        <v>288013.33803834295</v>
      </c>
      <c r="O226" s="299"/>
      <c r="P226" s="308" t="str">
        <f>Données!AC226</f>
        <v/>
      </c>
      <c r="Q226" s="304" t="str">
        <f>Données!AD226</f>
        <v/>
      </c>
      <c r="R226" s="299">
        <f t="shared" si="57"/>
        <v>0</v>
      </c>
      <c r="S226" s="305">
        <f t="shared" si="58"/>
        <v>0</v>
      </c>
      <c r="T226" s="299">
        <f t="shared" si="60"/>
        <v>62312.546286669378</v>
      </c>
      <c r="U226" s="309">
        <f t="shared" si="55"/>
        <v>62312.546286669378</v>
      </c>
    </row>
    <row r="227" spans="1:21" x14ac:dyDescent="0.25">
      <c r="A227" s="156">
        <f>Données!A227</f>
        <v>5785</v>
      </c>
      <c r="B227" s="157" t="str">
        <f>Données!B227</f>
        <v>Corcelles-le-Jorat</v>
      </c>
      <c r="C227" s="304">
        <f>Données!C227</f>
        <v>495</v>
      </c>
      <c r="D227" s="300">
        <f t="shared" si="51"/>
        <v>495</v>
      </c>
      <c r="E227" s="300">
        <f t="shared" si="56"/>
        <v>0</v>
      </c>
      <c r="F227" s="305">
        <f t="shared" si="63"/>
        <v>0</v>
      </c>
      <c r="G227" s="299">
        <f t="shared" si="63"/>
        <v>0</v>
      </c>
      <c r="H227" s="300">
        <f t="shared" si="63"/>
        <v>0</v>
      </c>
      <c r="I227" s="305">
        <f t="shared" si="63"/>
        <v>0</v>
      </c>
      <c r="J227" s="306">
        <f t="shared" si="52"/>
        <v>0</v>
      </c>
      <c r="K227" s="299"/>
      <c r="L227" s="300">
        <f t="shared" si="53"/>
        <v>-66159.124629080121</v>
      </c>
      <c r="M227" s="305">
        <f t="shared" si="59"/>
        <v>297598.41412417713</v>
      </c>
      <c r="N227" s="307">
        <f t="shared" si="54"/>
        <v>231439.28949509701</v>
      </c>
      <c r="O227" s="299"/>
      <c r="P227" s="308" t="str">
        <f>Données!AC227</f>
        <v/>
      </c>
      <c r="Q227" s="304" t="str">
        <f>Données!AD227</f>
        <v/>
      </c>
      <c r="R227" s="299">
        <f t="shared" si="57"/>
        <v>0</v>
      </c>
      <c r="S227" s="305">
        <f t="shared" si="58"/>
        <v>0</v>
      </c>
      <c r="T227" s="299">
        <f t="shared" si="60"/>
        <v>50072.581837502177</v>
      </c>
      <c r="U227" s="309">
        <f t="shared" si="55"/>
        <v>50072.581837502177</v>
      </c>
    </row>
    <row r="228" spans="1:21" x14ac:dyDescent="0.25">
      <c r="A228" s="156">
        <f>Données!A228</f>
        <v>5790</v>
      </c>
      <c r="B228" s="157" t="str">
        <f>Données!B228</f>
        <v>Maracon</v>
      </c>
      <c r="C228" s="304">
        <f>Données!C228</f>
        <v>565</v>
      </c>
      <c r="D228" s="300">
        <f t="shared" si="51"/>
        <v>565</v>
      </c>
      <c r="E228" s="300">
        <f t="shared" si="56"/>
        <v>0</v>
      </c>
      <c r="F228" s="305">
        <f t="shared" si="63"/>
        <v>0</v>
      </c>
      <c r="G228" s="299">
        <f t="shared" si="63"/>
        <v>0</v>
      </c>
      <c r="H228" s="300">
        <f t="shared" si="63"/>
        <v>0</v>
      </c>
      <c r="I228" s="305">
        <f t="shared" si="63"/>
        <v>0</v>
      </c>
      <c r="J228" s="306">
        <f t="shared" si="52"/>
        <v>0</v>
      </c>
      <c r="K228" s="299"/>
      <c r="L228" s="300">
        <f t="shared" si="53"/>
        <v>-75514.960435212663</v>
      </c>
      <c r="M228" s="305">
        <f t="shared" si="59"/>
        <v>339683.03834375774</v>
      </c>
      <c r="N228" s="307">
        <f t="shared" si="54"/>
        <v>264168.07790854509</v>
      </c>
      <c r="O228" s="299"/>
      <c r="P228" s="308" t="str">
        <f>Données!AC228</f>
        <v/>
      </c>
      <c r="Q228" s="304" t="str">
        <f>Données!AD228</f>
        <v/>
      </c>
      <c r="R228" s="299">
        <f t="shared" si="57"/>
        <v>0</v>
      </c>
      <c r="S228" s="305">
        <f t="shared" si="58"/>
        <v>0</v>
      </c>
      <c r="T228" s="299">
        <f t="shared" si="60"/>
        <v>57153.553006441878</v>
      </c>
      <c r="U228" s="309">
        <f t="shared" si="55"/>
        <v>57153.553006441878</v>
      </c>
    </row>
    <row r="229" spans="1:21" x14ac:dyDescent="0.25">
      <c r="A229" s="156">
        <f>Données!A229</f>
        <v>5792</v>
      </c>
      <c r="B229" s="157" t="str">
        <f>Données!B229</f>
        <v>Montpreveyres</v>
      </c>
      <c r="C229" s="304">
        <f>Données!C229</f>
        <v>670</v>
      </c>
      <c r="D229" s="300">
        <f t="shared" si="51"/>
        <v>670</v>
      </c>
      <c r="E229" s="300">
        <f t="shared" si="56"/>
        <v>0</v>
      </c>
      <c r="F229" s="305">
        <f t="shared" si="63"/>
        <v>0</v>
      </c>
      <c r="G229" s="299">
        <f t="shared" si="63"/>
        <v>0</v>
      </c>
      <c r="H229" s="300">
        <f t="shared" si="63"/>
        <v>0</v>
      </c>
      <c r="I229" s="305">
        <f t="shared" si="63"/>
        <v>0</v>
      </c>
      <c r="J229" s="306">
        <f t="shared" si="52"/>
        <v>0</v>
      </c>
      <c r="K229" s="299"/>
      <c r="L229" s="300">
        <f t="shared" si="53"/>
        <v>-89548.714144411468</v>
      </c>
      <c r="M229" s="305">
        <f t="shared" si="59"/>
        <v>402809.97467312863</v>
      </c>
      <c r="N229" s="307">
        <f t="shared" si="54"/>
        <v>313261.26052871719</v>
      </c>
      <c r="O229" s="299"/>
      <c r="P229" s="308" t="str">
        <f>Données!AC229</f>
        <v/>
      </c>
      <c r="Q229" s="304" t="str">
        <f>Données!AD229</f>
        <v/>
      </c>
      <c r="R229" s="299">
        <f t="shared" si="57"/>
        <v>0</v>
      </c>
      <c r="S229" s="305">
        <f t="shared" si="58"/>
        <v>0</v>
      </c>
      <c r="T229" s="299">
        <f t="shared" si="60"/>
        <v>67775.009759851426</v>
      </c>
      <c r="U229" s="309">
        <f t="shared" si="55"/>
        <v>67775.009759851426</v>
      </c>
    </row>
    <row r="230" spans="1:21" x14ac:dyDescent="0.25">
      <c r="A230" s="156">
        <f>Données!A230</f>
        <v>5798</v>
      </c>
      <c r="B230" s="157" t="str">
        <f>Données!B230</f>
        <v>Ropraz</v>
      </c>
      <c r="C230" s="304">
        <f>Données!C230</f>
        <v>535</v>
      </c>
      <c r="D230" s="300">
        <f t="shared" si="51"/>
        <v>535</v>
      </c>
      <c r="E230" s="300">
        <f t="shared" si="56"/>
        <v>0</v>
      </c>
      <c r="F230" s="305">
        <f t="shared" si="63"/>
        <v>0</v>
      </c>
      <c r="G230" s="299">
        <f t="shared" si="63"/>
        <v>0</v>
      </c>
      <c r="H230" s="300">
        <f t="shared" si="63"/>
        <v>0</v>
      </c>
      <c r="I230" s="305">
        <f t="shared" si="63"/>
        <v>0</v>
      </c>
      <c r="J230" s="306">
        <f t="shared" si="52"/>
        <v>0</v>
      </c>
      <c r="K230" s="299"/>
      <c r="L230" s="300">
        <f t="shared" si="53"/>
        <v>-71505.316518298714</v>
      </c>
      <c r="M230" s="305">
        <f t="shared" si="59"/>
        <v>321646.77082108031</v>
      </c>
      <c r="N230" s="307">
        <f t="shared" si="54"/>
        <v>250141.45430278161</v>
      </c>
      <c r="O230" s="299"/>
      <c r="P230" s="308" t="str">
        <f>Données!AC230</f>
        <v/>
      </c>
      <c r="Q230" s="304" t="str">
        <f>Données!AD230</f>
        <v/>
      </c>
      <c r="R230" s="299">
        <f t="shared" si="57"/>
        <v>0</v>
      </c>
      <c r="S230" s="305">
        <f t="shared" si="58"/>
        <v>0</v>
      </c>
      <c r="T230" s="299">
        <f t="shared" si="60"/>
        <v>54118.851076896295</v>
      </c>
      <c r="U230" s="309">
        <f t="shared" si="55"/>
        <v>54118.851076896295</v>
      </c>
    </row>
    <row r="231" spans="1:21" x14ac:dyDescent="0.25">
      <c r="A231" s="156">
        <f>Données!A231</f>
        <v>5799</v>
      </c>
      <c r="B231" s="157" t="str">
        <f>Données!B231</f>
        <v>Servion</v>
      </c>
      <c r="C231" s="304">
        <f>Données!C231</f>
        <v>2241</v>
      </c>
      <c r="D231" s="300">
        <f t="shared" si="51"/>
        <v>1000</v>
      </c>
      <c r="E231" s="300">
        <f t="shared" si="56"/>
        <v>1241</v>
      </c>
      <c r="F231" s="305">
        <f t="shared" si="63"/>
        <v>0</v>
      </c>
      <c r="G231" s="299">
        <f t="shared" si="63"/>
        <v>0</v>
      </c>
      <c r="H231" s="300">
        <f t="shared" si="63"/>
        <v>0</v>
      </c>
      <c r="I231" s="305">
        <f t="shared" si="63"/>
        <v>0</v>
      </c>
      <c r="J231" s="306">
        <f t="shared" si="52"/>
        <v>0</v>
      </c>
      <c r="K231" s="299"/>
      <c r="L231" s="300">
        <f t="shared" si="53"/>
        <v>-598078.48664688424</v>
      </c>
      <c r="M231" s="305">
        <f t="shared" si="59"/>
        <v>1347309.1839440018</v>
      </c>
      <c r="N231" s="307">
        <f t="shared" si="54"/>
        <v>749230.69729711756</v>
      </c>
      <c r="O231" s="299"/>
      <c r="P231" s="308" t="str">
        <f>Données!AC231</f>
        <v/>
      </c>
      <c r="Q231" s="304" t="str">
        <f>Données!AD231</f>
        <v/>
      </c>
      <c r="R231" s="299">
        <f t="shared" si="57"/>
        <v>0</v>
      </c>
      <c r="S231" s="305">
        <f t="shared" si="58"/>
        <v>0</v>
      </c>
      <c r="T231" s="299">
        <f t="shared" si="60"/>
        <v>226692.23413705532</v>
      </c>
      <c r="U231" s="309">
        <f t="shared" si="55"/>
        <v>226692.23413705532</v>
      </c>
    </row>
    <row r="232" spans="1:21" x14ac:dyDescent="0.25">
      <c r="A232" s="156">
        <f>Données!A232</f>
        <v>5803</v>
      </c>
      <c r="B232" s="157" t="str">
        <f>Données!B232</f>
        <v>Vulliens</v>
      </c>
      <c r="C232" s="304">
        <f>Données!C232</f>
        <v>630</v>
      </c>
      <c r="D232" s="300">
        <f t="shared" si="51"/>
        <v>630</v>
      </c>
      <c r="E232" s="300">
        <f t="shared" si="56"/>
        <v>0</v>
      </c>
      <c r="F232" s="305">
        <f t="shared" si="63"/>
        <v>0</v>
      </c>
      <c r="G232" s="299">
        <f t="shared" si="63"/>
        <v>0</v>
      </c>
      <c r="H232" s="300">
        <f t="shared" si="63"/>
        <v>0</v>
      </c>
      <c r="I232" s="305">
        <f t="shared" si="63"/>
        <v>0</v>
      </c>
      <c r="J232" s="306">
        <f t="shared" si="52"/>
        <v>0</v>
      </c>
      <c r="K232" s="299"/>
      <c r="L232" s="300">
        <f t="shared" si="53"/>
        <v>-84202.522255192875</v>
      </c>
      <c r="M232" s="305">
        <f t="shared" si="59"/>
        <v>378761.61797622545</v>
      </c>
      <c r="N232" s="307">
        <f t="shared" si="54"/>
        <v>294559.09572103259</v>
      </c>
      <c r="O232" s="299"/>
      <c r="P232" s="308" t="str">
        <f>Données!AC232</f>
        <v/>
      </c>
      <c r="Q232" s="304" t="str">
        <f>Données!AD232</f>
        <v/>
      </c>
      <c r="R232" s="299">
        <f t="shared" si="57"/>
        <v>0</v>
      </c>
      <c r="S232" s="305">
        <f t="shared" si="58"/>
        <v>0</v>
      </c>
      <c r="T232" s="299">
        <f t="shared" si="60"/>
        <v>63728.740520457315</v>
      </c>
      <c r="U232" s="309">
        <f t="shared" si="55"/>
        <v>63728.740520457315</v>
      </c>
    </row>
    <row r="233" spans="1:21" x14ac:dyDescent="0.25">
      <c r="A233" s="156">
        <f>Données!A233</f>
        <v>5804</v>
      </c>
      <c r="B233" s="157" t="str">
        <f>Données!B233</f>
        <v>Jorat-Menthue</v>
      </c>
      <c r="C233" s="304">
        <f>Données!C233</f>
        <v>1564</v>
      </c>
      <c r="D233" s="300">
        <f t="shared" si="51"/>
        <v>1000</v>
      </c>
      <c r="E233" s="300">
        <f t="shared" si="56"/>
        <v>564</v>
      </c>
      <c r="F233" s="305">
        <f t="shared" si="63"/>
        <v>0</v>
      </c>
      <c r="G233" s="299">
        <f t="shared" si="63"/>
        <v>0</v>
      </c>
      <c r="H233" s="300">
        <f t="shared" si="63"/>
        <v>0</v>
      </c>
      <c r="I233" s="305">
        <f t="shared" si="63"/>
        <v>0</v>
      </c>
      <c r="J233" s="306">
        <f t="shared" si="52"/>
        <v>0</v>
      </c>
      <c r="K233" s="299"/>
      <c r="L233" s="300">
        <f t="shared" si="53"/>
        <v>-344722.45301681501</v>
      </c>
      <c r="M233" s="305">
        <f t="shared" si="59"/>
        <v>940290.74684891524</v>
      </c>
      <c r="N233" s="307">
        <f t="shared" si="54"/>
        <v>595568.29383210023</v>
      </c>
      <c r="O233" s="299"/>
      <c r="P233" s="308" t="str">
        <f>Données!AC233</f>
        <v/>
      </c>
      <c r="Q233" s="304" t="str">
        <f>Données!AD233</f>
        <v/>
      </c>
      <c r="R233" s="299">
        <f t="shared" si="57"/>
        <v>0</v>
      </c>
      <c r="S233" s="305">
        <f t="shared" si="58"/>
        <v>0</v>
      </c>
      <c r="T233" s="299">
        <f t="shared" si="60"/>
        <v>158209.12726030991</v>
      </c>
      <c r="U233" s="309">
        <f t="shared" si="55"/>
        <v>158209.12726030991</v>
      </c>
    </row>
    <row r="234" spans="1:21" x14ac:dyDescent="0.25">
      <c r="A234" s="156">
        <f>Données!A234</f>
        <v>5805</v>
      </c>
      <c r="B234" s="157" t="str">
        <f>Données!B234</f>
        <v>Oron</v>
      </c>
      <c r="C234" s="304">
        <f>Données!C234</f>
        <v>6451</v>
      </c>
      <c r="D234" s="300">
        <f t="shared" si="51"/>
        <v>1000</v>
      </c>
      <c r="E234" s="300">
        <f t="shared" si="56"/>
        <v>2000</v>
      </c>
      <c r="F234" s="305">
        <f t="shared" si="63"/>
        <v>3451</v>
      </c>
      <c r="G234" s="299">
        <f t="shared" si="63"/>
        <v>0</v>
      </c>
      <c r="H234" s="300">
        <f t="shared" si="63"/>
        <v>0</v>
      </c>
      <c r="I234" s="305">
        <f t="shared" si="63"/>
        <v>0</v>
      </c>
      <c r="J234" s="306">
        <f t="shared" si="52"/>
        <v>0</v>
      </c>
      <c r="K234" s="299"/>
      <c r="L234" s="300">
        <f t="shared" si="53"/>
        <v>-3188335.18793274</v>
      </c>
      <c r="M234" s="305">
        <f t="shared" si="59"/>
        <v>3878398.7262930637</v>
      </c>
      <c r="N234" s="307">
        <f t="shared" si="54"/>
        <v>690063.53836032376</v>
      </c>
      <c r="O234" s="299"/>
      <c r="P234" s="308" t="str">
        <f>Données!AC234</f>
        <v/>
      </c>
      <c r="Q234" s="304" t="str">
        <f>Données!AD234</f>
        <v/>
      </c>
      <c r="R234" s="299">
        <f t="shared" si="57"/>
        <v>0</v>
      </c>
      <c r="S234" s="305">
        <f t="shared" si="58"/>
        <v>0</v>
      </c>
      <c r="T234" s="299">
        <f t="shared" si="60"/>
        <v>652562.07158328593</v>
      </c>
      <c r="U234" s="309">
        <f t="shared" si="55"/>
        <v>652562.07158328593</v>
      </c>
    </row>
    <row r="235" spans="1:21" x14ac:dyDescent="0.25">
      <c r="A235" s="156">
        <f>Données!A235</f>
        <v>5806</v>
      </c>
      <c r="B235" s="157" t="str">
        <f>Données!B235</f>
        <v>Jorat-Mézières</v>
      </c>
      <c r="C235" s="304">
        <f>Données!C235</f>
        <v>3209</v>
      </c>
      <c r="D235" s="300">
        <f t="shared" si="51"/>
        <v>1000</v>
      </c>
      <c r="E235" s="300">
        <f t="shared" si="56"/>
        <v>2000</v>
      </c>
      <c r="F235" s="305">
        <f t="shared" si="63"/>
        <v>209</v>
      </c>
      <c r="G235" s="299">
        <f t="shared" si="63"/>
        <v>0</v>
      </c>
      <c r="H235" s="300">
        <f t="shared" si="63"/>
        <v>0</v>
      </c>
      <c r="I235" s="305">
        <f t="shared" si="63"/>
        <v>0</v>
      </c>
      <c r="J235" s="306">
        <f t="shared" si="52"/>
        <v>0</v>
      </c>
      <c r="K235" s="299"/>
      <c r="L235" s="300">
        <f t="shared" si="53"/>
        <v>-1021790.924826904</v>
      </c>
      <c r="M235" s="305">
        <f t="shared" si="59"/>
        <v>1929279.4160090594</v>
      </c>
      <c r="N235" s="307">
        <f t="shared" si="54"/>
        <v>907488.49118215544</v>
      </c>
      <c r="O235" s="299"/>
      <c r="P235" s="308" t="str">
        <f>Données!AC235</f>
        <v/>
      </c>
      <c r="Q235" s="304" t="str">
        <f>Données!AD235</f>
        <v/>
      </c>
      <c r="R235" s="299">
        <f t="shared" si="57"/>
        <v>0</v>
      </c>
      <c r="S235" s="305">
        <f t="shared" si="58"/>
        <v>0</v>
      </c>
      <c r="T235" s="299">
        <f t="shared" si="60"/>
        <v>324611.94973039289</v>
      </c>
      <c r="U235" s="309">
        <f t="shared" si="55"/>
        <v>324611.94973039289</v>
      </c>
    </row>
    <row r="236" spans="1:21" x14ac:dyDescent="0.25">
      <c r="A236" s="156">
        <f>Données!A236</f>
        <v>5812</v>
      </c>
      <c r="B236" s="157" t="str">
        <f>Données!B236</f>
        <v>Champtauroz</v>
      </c>
      <c r="C236" s="304">
        <f>Données!C236</f>
        <v>184</v>
      </c>
      <c r="D236" s="300">
        <f t="shared" si="51"/>
        <v>184</v>
      </c>
      <c r="E236" s="300">
        <f t="shared" si="56"/>
        <v>0</v>
      </c>
      <c r="F236" s="305">
        <f t="shared" ref="F236:I245" si="64">IF($C236&lt;F$4,0,IF($C236&gt;F$5,F$5-F$4,$C236-F$4))</f>
        <v>0</v>
      </c>
      <c r="G236" s="299">
        <f t="shared" si="64"/>
        <v>0</v>
      </c>
      <c r="H236" s="300">
        <f t="shared" si="64"/>
        <v>0</v>
      </c>
      <c r="I236" s="305">
        <f t="shared" si="64"/>
        <v>0</v>
      </c>
      <c r="J236" s="306">
        <f t="shared" si="52"/>
        <v>0</v>
      </c>
      <c r="K236" s="299"/>
      <c r="L236" s="300">
        <f t="shared" si="53"/>
        <v>-24592.482690405537</v>
      </c>
      <c r="M236" s="305">
        <f t="shared" si="59"/>
        <v>110622.44080575473</v>
      </c>
      <c r="N236" s="307">
        <f t="shared" si="54"/>
        <v>86029.958115349189</v>
      </c>
      <c r="O236" s="299"/>
      <c r="P236" s="308" t="str">
        <f>Données!AC236</f>
        <v/>
      </c>
      <c r="Q236" s="304" t="str">
        <f>Données!AD236</f>
        <v/>
      </c>
      <c r="R236" s="299">
        <f t="shared" si="57"/>
        <v>0</v>
      </c>
      <c r="S236" s="305">
        <f t="shared" si="58"/>
        <v>0</v>
      </c>
      <c r="T236" s="299">
        <f t="shared" si="60"/>
        <v>18612.838501212929</v>
      </c>
      <c r="U236" s="309">
        <f t="shared" si="55"/>
        <v>18612.838501212929</v>
      </c>
    </row>
    <row r="237" spans="1:21" x14ac:dyDescent="0.25">
      <c r="A237" s="156">
        <f>Données!A237</f>
        <v>5813</v>
      </c>
      <c r="B237" s="157" t="str">
        <f>Données!B237</f>
        <v>Chevroux</v>
      </c>
      <c r="C237" s="304">
        <f>Données!C237</f>
        <v>487</v>
      </c>
      <c r="D237" s="300">
        <f t="shared" si="51"/>
        <v>487</v>
      </c>
      <c r="E237" s="300">
        <f t="shared" si="56"/>
        <v>0</v>
      </c>
      <c r="F237" s="305">
        <f t="shared" si="64"/>
        <v>0</v>
      </c>
      <c r="G237" s="299">
        <f t="shared" si="64"/>
        <v>0</v>
      </c>
      <c r="H237" s="300">
        <f t="shared" si="64"/>
        <v>0</v>
      </c>
      <c r="I237" s="305">
        <f t="shared" si="64"/>
        <v>0</v>
      </c>
      <c r="J237" s="306">
        <f t="shared" si="52"/>
        <v>0</v>
      </c>
      <c r="K237" s="299"/>
      <c r="L237" s="300">
        <f t="shared" si="53"/>
        <v>-65089.886251236399</v>
      </c>
      <c r="M237" s="305">
        <f t="shared" si="59"/>
        <v>292788.74278479646</v>
      </c>
      <c r="N237" s="307">
        <f t="shared" si="54"/>
        <v>227698.85653356006</v>
      </c>
      <c r="O237" s="299"/>
      <c r="P237" s="308" t="str">
        <f>Données!AC237</f>
        <v/>
      </c>
      <c r="Q237" s="304" t="str">
        <f>Données!AD237</f>
        <v/>
      </c>
      <c r="R237" s="299">
        <f t="shared" si="57"/>
        <v>0</v>
      </c>
      <c r="S237" s="305">
        <f t="shared" si="58"/>
        <v>0</v>
      </c>
      <c r="T237" s="299">
        <f t="shared" si="60"/>
        <v>49263.327989623358</v>
      </c>
      <c r="U237" s="309">
        <f t="shared" si="55"/>
        <v>49263.327989623358</v>
      </c>
    </row>
    <row r="238" spans="1:21" x14ac:dyDescent="0.25">
      <c r="A238" s="156">
        <f>Données!A238</f>
        <v>5816</v>
      </c>
      <c r="B238" s="157" t="str">
        <f>Données!B238</f>
        <v>Corcelles-près-Payerne</v>
      </c>
      <c r="C238" s="304">
        <f>Données!C238</f>
        <v>3129</v>
      </c>
      <c r="D238" s="300">
        <f t="shared" si="51"/>
        <v>1000</v>
      </c>
      <c r="E238" s="300">
        <f t="shared" si="56"/>
        <v>2000</v>
      </c>
      <c r="F238" s="305">
        <f t="shared" si="64"/>
        <v>129</v>
      </c>
      <c r="G238" s="299">
        <f t="shared" si="64"/>
        <v>0</v>
      </c>
      <c r="H238" s="300">
        <f t="shared" si="64"/>
        <v>0</v>
      </c>
      <c r="I238" s="305">
        <f t="shared" si="64"/>
        <v>0</v>
      </c>
      <c r="J238" s="306">
        <f t="shared" si="52"/>
        <v>0</v>
      </c>
      <c r="K238" s="299"/>
      <c r="L238" s="300">
        <f t="shared" si="53"/>
        <v>-968329.00593471806</v>
      </c>
      <c r="M238" s="305">
        <f t="shared" si="59"/>
        <v>1881182.7026152529</v>
      </c>
      <c r="N238" s="307">
        <f t="shared" si="54"/>
        <v>912853.69668053486</v>
      </c>
      <c r="O238" s="299"/>
      <c r="P238" s="308" t="str">
        <f>Données!AC238</f>
        <v/>
      </c>
      <c r="Q238" s="304" t="str">
        <f>Données!AD238</f>
        <v/>
      </c>
      <c r="R238" s="299">
        <f t="shared" si="57"/>
        <v>0</v>
      </c>
      <c r="S238" s="305">
        <f t="shared" si="58"/>
        <v>0</v>
      </c>
      <c r="T238" s="299">
        <f t="shared" si="60"/>
        <v>316519.41125160467</v>
      </c>
      <c r="U238" s="309">
        <f t="shared" si="55"/>
        <v>316519.41125160467</v>
      </c>
    </row>
    <row r="239" spans="1:21" x14ac:dyDescent="0.25">
      <c r="A239" s="156">
        <f>Données!A239</f>
        <v>5817</v>
      </c>
      <c r="B239" s="157" t="str">
        <f>Données!B239</f>
        <v>Grandcour</v>
      </c>
      <c r="C239" s="304">
        <f>Données!C239</f>
        <v>970</v>
      </c>
      <c r="D239" s="300">
        <f t="shared" si="51"/>
        <v>970</v>
      </c>
      <c r="E239" s="300">
        <f t="shared" si="56"/>
        <v>0</v>
      </c>
      <c r="F239" s="305">
        <f t="shared" si="64"/>
        <v>0</v>
      </c>
      <c r="G239" s="299">
        <f t="shared" si="64"/>
        <v>0</v>
      </c>
      <c r="H239" s="300">
        <f t="shared" si="64"/>
        <v>0</v>
      </c>
      <c r="I239" s="305">
        <f t="shared" si="64"/>
        <v>0</v>
      </c>
      <c r="J239" s="306">
        <f t="shared" si="52"/>
        <v>0</v>
      </c>
      <c r="K239" s="299"/>
      <c r="L239" s="300">
        <f t="shared" si="53"/>
        <v>-129645.15331355094</v>
      </c>
      <c r="M239" s="305">
        <f t="shared" si="59"/>
        <v>583172.64989990264</v>
      </c>
      <c r="N239" s="307">
        <f t="shared" si="54"/>
        <v>453527.49658635171</v>
      </c>
      <c r="O239" s="299"/>
      <c r="P239" s="308" t="str">
        <f>Données!AC239</f>
        <v/>
      </c>
      <c r="Q239" s="304" t="str">
        <f>Données!AD239</f>
        <v/>
      </c>
      <c r="R239" s="299">
        <f t="shared" si="57"/>
        <v>0</v>
      </c>
      <c r="S239" s="305">
        <f t="shared" si="58"/>
        <v>0</v>
      </c>
      <c r="T239" s="299">
        <f t="shared" si="60"/>
        <v>98122.029055307299</v>
      </c>
      <c r="U239" s="309">
        <f t="shared" si="55"/>
        <v>98122.029055307299</v>
      </c>
    </row>
    <row r="240" spans="1:21" x14ac:dyDescent="0.25">
      <c r="A240" s="156">
        <f>Données!A240</f>
        <v>5819</v>
      </c>
      <c r="B240" s="157" t="str">
        <f>Données!B240</f>
        <v>Henniez</v>
      </c>
      <c r="C240" s="304">
        <f>Données!C240</f>
        <v>464</v>
      </c>
      <c r="D240" s="300">
        <f t="shared" si="51"/>
        <v>464</v>
      </c>
      <c r="E240" s="300">
        <f t="shared" si="56"/>
        <v>0</v>
      </c>
      <c r="F240" s="305">
        <f t="shared" si="64"/>
        <v>0</v>
      </c>
      <c r="G240" s="299">
        <f t="shared" si="64"/>
        <v>0</v>
      </c>
      <c r="H240" s="300">
        <f t="shared" si="64"/>
        <v>0</v>
      </c>
      <c r="I240" s="305">
        <f t="shared" si="64"/>
        <v>0</v>
      </c>
      <c r="J240" s="306">
        <f t="shared" si="52"/>
        <v>0</v>
      </c>
      <c r="K240" s="299"/>
      <c r="L240" s="300">
        <f t="shared" si="53"/>
        <v>-62015.825914935704</v>
      </c>
      <c r="M240" s="305">
        <f t="shared" si="59"/>
        <v>278960.93768407713</v>
      </c>
      <c r="N240" s="307">
        <f t="shared" si="54"/>
        <v>216945.11176914143</v>
      </c>
      <c r="O240" s="299"/>
      <c r="P240" s="308" t="str">
        <f>Données!AC240</f>
        <v/>
      </c>
      <c r="Q240" s="304" t="str">
        <f>Données!AD240</f>
        <v/>
      </c>
      <c r="R240" s="299">
        <f t="shared" si="57"/>
        <v>0</v>
      </c>
      <c r="S240" s="305">
        <f t="shared" si="58"/>
        <v>0</v>
      </c>
      <c r="T240" s="299">
        <f t="shared" si="60"/>
        <v>46936.72317697174</v>
      </c>
      <c r="U240" s="309">
        <f t="shared" si="55"/>
        <v>46936.72317697174</v>
      </c>
    </row>
    <row r="241" spans="1:21" x14ac:dyDescent="0.25">
      <c r="A241" s="156">
        <f>Données!A241</f>
        <v>5821</v>
      </c>
      <c r="B241" s="157" t="str">
        <f>Données!B241</f>
        <v>Missy</v>
      </c>
      <c r="C241" s="304">
        <f>Données!C241</f>
        <v>379</v>
      </c>
      <c r="D241" s="300">
        <f t="shared" si="51"/>
        <v>379</v>
      </c>
      <c r="E241" s="300">
        <f t="shared" si="56"/>
        <v>0</v>
      </c>
      <c r="F241" s="305">
        <f t="shared" si="64"/>
        <v>0</v>
      </c>
      <c r="G241" s="299">
        <f t="shared" si="64"/>
        <v>0</v>
      </c>
      <c r="H241" s="300">
        <f t="shared" si="64"/>
        <v>0</v>
      </c>
      <c r="I241" s="305">
        <f t="shared" si="64"/>
        <v>0</v>
      </c>
      <c r="J241" s="306">
        <f t="shared" si="52"/>
        <v>0</v>
      </c>
      <c r="K241" s="299"/>
      <c r="L241" s="300">
        <f t="shared" si="53"/>
        <v>-50655.168150346188</v>
      </c>
      <c r="M241" s="305">
        <f t="shared" si="59"/>
        <v>227858.17970315783</v>
      </c>
      <c r="N241" s="307">
        <f t="shared" si="54"/>
        <v>177203.01155281166</v>
      </c>
      <c r="O241" s="299"/>
      <c r="P241" s="308" t="str">
        <f>Données!AC241</f>
        <v/>
      </c>
      <c r="Q241" s="304" t="str">
        <f>Données!AD241</f>
        <v/>
      </c>
      <c r="R241" s="299">
        <f t="shared" si="57"/>
        <v>0</v>
      </c>
      <c r="S241" s="305">
        <f t="shared" si="58"/>
        <v>0</v>
      </c>
      <c r="T241" s="299">
        <f t="shared" si="60"/>
        <v>38338.40104325924</v>
      </c>
      <c r="U241" s="309">
        <f t="shared" si="55"/>
        <v>38338.40104325924</v>
      </c>
    </row>
    <row r="242" spans="1:21" x14ac:dyDescent="0.25">
      <c r="A242" s="156">
        <f>Données!A242</f>
        <v>5822</v>
      </c>
      <c r="B242" s="157" t="str">
        <f>Données!B242</f>
        <v>Payerne</v>
      </c>
      <c r="C242" s="304">
        <f>Données!C242</f>
        <v>10972</v>
      </c>
      <c r="D242" s="300">
        <f t="shared" si="51"/>
        <v>1000</v>
      </c>
      <c r="E242" s="300">
        <f t="shared" si="56"/>
        <v>2000</v>
      </c>
      <c r="F242" s="305">
        <f t="shared" si="64"/>
        <v>7972</v>
      </c>
      <c r="G242" s="299">
        <f t="shared" si="64"/>
        <v>0</v>
      </c>
      <c r="H242" s="300">
        <f t="shared" si="64"/>
        <v>0</v>
      </c>
      <c r="I242" s="305">
        <f t="shared" si="64"/>
        <v>0</v>
      </c>
      <c r="J242" s="306">
        <f t="shared" si="52"/>
        <v>0</v>
      </c>
      <c r="K242" s="299"/>
      <c r="L242" s="300">
        <f t="shared" si="53"/>
        <v>-6209601.8793273997</v>
      </c>
      <c r="M242" s="305">
        <f t="shared" si="59"/>
        <v>6596464.2419605479</v>
      </c>
      <c r="N242" s="307">
        <f t="shared" si="54"/>
        <v>386862.36263314821</v>
      </c>
      <c r="O242" s="299"/>
      <c r="P242" s="308">
        <f>Données!AC242</f>
        <v>643891</v>
      </c>
      <c r="Q242" s="304">
        <f>Données!AD242</f>
        <v>0</v>
      </c>
      <c r="R242" s="299">
        <f t="shared" si="57"/>
        <v>643891</v>
      </c>
      <c r="S242" s="305">
        <f t="shared" si="58"/>
        <v>-386334.6</v>
      </c>
      <c r="T242" s="299">
        <f t="shared" si="60"/>
        <v>1109891.6523658058</v>
      </c>
      <c r="U242" s="309">
        <f t="shared" si="55"/>
        <v>723557.05236580584</v>
      </c>
    </row>
    <row r="243" spans="1:21" x14ac:dyDescent="0.25">
      <c r="A243" s="156">
        <f>Données!A243</f>
        <v>5827</v>
      </c>
      <c r="B243" s="157" t="str">
        <f>Données!B243</f>
        <v>Trey</v>
      </c>
      <c r="C243" s="304">
        <f>Données!C243</f>
        <v>305</v>
      </c>
      <c r="D243" s="300">
        <f t="shared" si="51"/>
        <v>305</v>
      </c>
      <c r="E243" s="300">
        <f t="shared" si="56"/>
        <v>0</v>
      </c>
      <c r="F243" s="305">
        <f t="shared" si="64"/>
        <v>0</v>
      </c>
      <c r="G243" s="299">
        <f t="shared" si="64"/>
        <v>0</v>
      </c>
      <c r="H243" s="300">
        <f t="shared" si="64"/>
        <v>0</v>
      </c>
      <c r="I243" s="305">
        <f t="shared" si="64"/>
        <v>0</v>
      </c>
      <c r="J243" s="306">
        <f t="shared" si="52"/>
        <v>0</v>
      </c>
      <c r="K243" s="299"/>
      <c r="L243" s="300">
        <f t="shared" si="53"/>
        <v>-40764.713155291785</v>
      </c>
      <c r="M243" s="305">
        <f t="shared" si="59"/>
        <v>183368.71981388691</v>
      </c>
      <c r="N243" s="307">
        <f t="shared" si="54"/>
        <v>142604.00665859511</v>
      </c>
      <c r="O243" s="299"/>
      <c r="P243" s="308" t="str">
        <f>Données!AC243</f>
        <v/>
      </c>
      <c r="Q243" s="304" t="str">
        <f>Données!AD243</f>
        <v/>
      </c>
      <c r="R243" s="299">
        <f t="shared" si="57"/>
        <v>0</v>
      </c>
      <c r="S243" s="305">
        <f t="shared" si="58"/>
        <v>0</v>
      </c>
      <c r="T243" s="299">
        <f t="shared" si="60"/>
        <v>30852.80295038013</v>
      </c>
      <c r="U243" s="309">
        <f t="shared" si="55"/>
        <v>30852.80295038013</v>
      </c>
    </row>
    <row r="244" spans="1:21" x14ac:dyDescent="0.25">
      <c r="A244" s="156">
        <f>Données!A244</f>
        <v>5828</v>
      </c>
      <c r="B244" s="157" t="str">
        <f>Données!B244</f>
        <v>Treytorrens (Payerne)</v>
      </c>
      <c r="C244" s="304">
        <f>Données!C244</f>
        <v>108</v>
      </c>
      <c r="D244" s="300">
        <f t="shared" si="51"/>
        <v>108</v>
      </c>
      <c r="E244" s="300">
        <f t="shared" si="56"/>
        <v>0</v>
      </c>
      <c r="F244" s="305">
        <f t="shared" si="64"/>
        <v>0</v>
      </c>
      <c r="G244" s="299">
        <f t="shared" si="64"/>
        <v>0</v>
      </c>
      <c r="H244" s="300">
        <f t="shared" si="64"/>
        <v>0</v>
      </c>
      <c r="I244" s="305">
        <f t="shared" si="64"/>
        <v>0</v>
      </c>
      <c r="J244" s="306">
        <f t="shared" si="52"/>
        <v>0</v>
      </c>
      <c r="K244" s="299"/>
      <c r="L244" s="300">
        <f t="shared" si="53"/>
        <v>-14434.718100890206</v>
      </c>
      <c r="M244" s="305">
        <f t="shared" si="59"/>
        <v>64930.563081638647</v>
      </c>
      <c r="N244" s="307">
        <f t="shared" si="54"/>
        <v>50495.844980748443</v>
      </c>
      <c r="O244" s="299"/>
      <c r="P244" s="308" t="str">
        <f>Données!AC244</f>
        <v/>
      </c>
      <c r="Q244" s="304" t="str">
        <f>Données!AD244</f>
        <v/>
      </c>
      <c r="R244" s="299">
        <f t="shared" si="57"/>
        <v>0</v>
      </c>
      <c r="S244" s="305">
        <f t="shared" si="58"/>
        <v>0</v>
      </c>
      <c r="T244" s="299">
        <f t="shared" si="60"/>
        <v>10924.926946364112</v>
      </c>
      <c r="U244" s="309">
        <f t="shared" si="55"/>
        <v>10924.926946364112</v>
      </c>
    </row>
    <row r="245" spans="1:21" x14ac:dyDescent="0.25">
      <c r="A245" s="156">
        <f>Données!A245</f>
        <v>5830</v>
      </c>
      <c r="B245" s="157" t="str">
        <f>Données!B245</f>
        <v>Villarzel</v>
      </c>
      <c r="C245" s="304">
        <f>Données!C245</f>
        <v>522</v>
      </c>
      <c r="D245" s="300">
        <f t="shared" si="51"/>
        <v>522</v>
      </c>
      <c r="E245" s="300">
        <f t="shared" si="56"/>
        <v>0</v>
      </c>
      <c r="F245" s="305">
        <f t="shared" si="64"/>
        <v>0</v>
      </c>
      <c r="G245" s="299">
        <f t="shared" si="64"/>
        <v>0</v>
      </c>
      <c r="H245" s="300">
        <f t="shared" si="64"/>
        <v>0</v>
      </c>
      <c r="I245" s="305">
        <f t="shared" si="64"/>
        <v>0</v>
      </c>
      <c r="J245" s="306">
        <f t="shared" si="52"/>
        <v>0</v>
      </c>
      <c r="K245" s="299"/>
      <c r="L245" s="300">
        <f t="shared" si="53"/>
        <v>-69767.804154302663</v>
      </c>
      <c r="M245" s="305">
        <f t="shared" si="59"/>
        <v>313831.05489458679</v>
      </c>
      <c r="N245" s="307">
        <f t="shared" si="54"/>
        <v>244063.25074028413</v>
      </c>
      <c r="O245" s="299"/>
      <c r="P245" s="308" t="str">
        <f>Données!AC245</f>
        <v/>
      </c>
      <c r="Q245" s="304" t="str">
        <f>Données!AD245</f>
        <v/>
      </c>
      <c r="R245" s="299">
        <f t="shared" si="57"/>
        <v>0</v>
      </c>
      <c r="S245" s="305">
        <f t="shared" si="58"/>
        <v>0</v>
      </c>
      <c r="T245" s="299">
        <f t="shared" si="60"/>
        <v>52803.813574093205</v>
      </c>
      <c r="U245" s="309">
        <f t="shared" si="55"/>
        <v>52803.813574093205</v>
      </c>
    </row>
    <row r="246" spans="1:21" x14ac:dyDescent="0.25">
      <c r="A246" s="156">
        <f>Données!A246</f>
        <v>5831</v>
      </c>
      <c r="B246" s="157" t="str">
        <f>Données!B246</f>
        <v>Valbroye</v>
      </c>
      <c r="C246" s="304">
        <f>Données!C246</f>
        <v>3416</v>
      </c>
      <c r="D246" s="300">
        <f t="shared" si="51"/>
        <v>1000</v>
      </c>
      <c r="E246" s="300">
        <f t="shared" si="56"/>
        <v>2000</v>
      </c>
      <c r="F246" s="305">
        <f t="shared" ref="F246:I255" si="65">IF($C246&lt;F$4,0,IF($C246&gt;F$5,F$5-F$4,$C246-F$4))</f>
        <v>416</v>
      </c>
      <c r="G246" s="299">
        <f t="shared" si="65"/>
        <v>0</v>
      </c>
      <c r="H246" s="300">
        <f t="shared" si="65"/>
        <v>0</v>
      </c>
      <c r="I246" s="305">
        <f t="shared" si="65"/>
        <v>0</v>
      </c>
      <c r="J246" s="306">
        <f t="shared" si="52"/>
        <v>0</v>
      </c>
      <c r="K246" s="299"/>
      <c r="L246" s="300">
        <f t="shared" si="53"/>
        <v>-1160123.6399604352</v>
      </c>
      <c r="M246" s="305">
        <f t="shared" si="59"/>
        <v>2053729.6619155335</v>
      </c>
      <c r="N246" s="307">
        <f t="shared" si="54"/>
        <v>893606.02195509826</v>
      </c>
      <c r="O246" s="299"/>
      <c r="P246" s="308" t="str">
        <f>Données!AC246</f>
        <v/>
      </c>
      <c r="Q246" s="304" t="str">
        <f>Données!AD246</f>
        <v/>
      </c>
      <c r="R246" s="299">
        <f t="shared" si="57"/>
        <v>0</v>
      </c>
      <c r="S246" s="305">
        <f t="shared" si="58"/>
        <v>0</v>
      </c>
      <c r="T246" s="299">
        <f t="shared" si="60"/>
        <v>345551.39304425748</v>
      </c>
      <c r="U246" s="309">
        <f t="shared" si="55"/>
        <v>345551.39304425748</v>
      </c>
    </row>
    <row r="247" spans="1:21" x14ac:dyDescent="0.25">
      <c r="A247" s="156">
        <f>Données!A247</f>
        <v>5841</v>
      </c>
      <c r="B247" s="157" t="str">
        <f>Données!B247</f>
        <v>Château-d'Oex</v>
      </c>
      <c r="C247" s="304">
        <f>Données!C247</f>
        <v>3689</v>
      </c>
      <c r="D247" s="300">
        <f t="shared" si="51"/>
        <v>1000</v>
      </c>
      <c r="E247" s="300">
        <f t="shared" si="56"/>
        <v>2000</v>
      </c>
      <c r="F247" s="305">
        <f t="shared" si="65"/>
        <v>689</v>
      </c>
      <c r="G247" s="299">
        <f t="shared" si="65"/>
        <v>0</v>
      </c>
      <c r="H247" s="300">
        <f t="shared" si="65"/>
        <v>0</v>
      </c>
      <c r="I247" s="305">
        <f t="shared" si="65"/>
        <v>0</v>
      </c>
      <c r="J247" s="306">
        <f t="shared" si="52"/>
        <v>0</v>
      </c>
      <c r="K247" s="299"/>
      <c r="L247" s="300">
        <f t="shared" si="53"/>
        <v>-1342562.4381800198</v>
      </c>
      <c r="M247" s="305">
        <f t="shared" si="59"/>
        <v>2217859.6963718976</v>
      </c>
      <c r="N247" s="307">
        <f t="shared" si="54"/>
        <v>875297.25819187774</v>
      </c>
      <c r="O247" s="299"/>
      <c r="P247" s="308" t="str">
        <f>Données!AC247</f>
        <v/>
      </c>
      <c r="Q247" s="304" t="str">
        <f>Données!AD247</f>
        <v/>
      </c>
      <c r="R247" s="299">
        <f t="shared" si="57"/>
        <v>0</v>
      </c>
      <c r="S247" s="305">
        <f t="shared" si="58"/>
        <v>0</v>
      </c>
      <c r="T247" s="299">
        <f t="shared" si="60"/>
        <v>373167.18060312228</v>
      </c>
      <c r="U247" s="309">
        <f t="shared" si="55"/>
        <v>373167.18060312228</v>
      </c>
    </row>
    <row r="248" spans="1:21" x14ac:dyDescent="0.25">
      <c r="A248" s="156">
        <f>Données!A248</f>
        <v>5842</v>
      </c>
      <c r="B248" s="157" t="str">
        <f>Données!B248</f>
        <v>Rossinière</v>
      </c>
      <c r="C248" s="304">
        <f>Données!C248</f>
        <v>504</v>
      </c>
      <c r="D248" s="300">
        <f t="shared" si="51"/>
        <v>504</v>
      </c>
      <c r="E248" s="300">
        <f t="shared" si="56"/>
        <v>0</v>
      </c>
      <c r="F248" s="305">
        <f t="shared" si="65"/>
        <v>0</v>
      </c>
      <c r="G248" s="299">
        <f t="shared" si="65"/>
        <v>0</v>
      </c>
      <c r="H248" s="300">
        <f t="shared" si="65"/>
        <v>0</v>
      </c>
      <c r="I248" s="305">
        <f t="shared" si="65"/>
        <v>0</v>
      </c>
      <c r="J248" s="306">
        <f t="shared" si="52"/>
        <v>0</v>
      </c>
      <c r="K248" s="299"/>
      <c r="L248" s="300">
        <f t="shared" si="53"/>
        <v>-67362.017804154297</v>
      </c>
      <c r="M248" s="305">
        <f t="shared" si="59"/>
        <v>303009.29438098037</v>
      </c>
      <c r="N248" s="307">
        <f t="shared" si="54"/>
        <v>235647.27657682606</v>
      </c>
      <c r="O248" s="299"/>
      <c r="P248" s="308" t="str">
        <f>Données!AC248</f>
        <v/>
      </c>
      <c r="Q248" s="304" t="str">
        <f>Données!AD248</f>
        <v/>
      </c>
      <c r="R248" s="299">
        <f t="shared" si="57"/>
        <v>0</v>
      </c>
      <c r="S248" s="305">
        <f t="shared" si="58"/>
        <v>0</v>
      </c>
      <c r="T248" s="299">
        <f t="shared" si="60"/>
        <v>50982.992416365851</v>
      </c>
      <c r="U248" s="309">
        <f t="shared" si="55"/>
        <v>50982.992416365851</v>
      </c>
    </row>
    <row r="249" spans="1:21" x14ac:dyDescent="0.25">
      <c r="A249" s="156">
        <f>Données!A249</f>
        <v>5843</v>
      </c>
      <c r="B249" s="157" t="str">
        <f>Données!B249</f>
        <v>Rougemont</v>
      </c>
      <c r="C249" s="304">
        <f>Données!C249</f>
        <v>805</v>
      </c>
      <c r="D249" s="300">
        <f t="shared" si="51"/>
        <v>805</v>
      </c>
      <c r="E249" s="300">
        <f t="shared" si="56"/>
        <v>0</v>
      </c>
      <c r="F249" s="305">
        <f t="shared" si="65"/>
        <v>0</v>
      </c>
      <c r="G249" s="299">
        <f t="shared" si="65"/>
        <v>0</v>
      </c>
      <c r="H249" s="300">
        <f t="shared" si="65"/>
        <v>0</v>
      </c>
      <c r="I249" s="305">
        <f t="shared" si="65"/>
        <v>0</v>
      </c>
      <c r="J249" s="306">
        <f t="shared" si="52"/>
        <v>0</v>
      </c>
      <c r="K249" s="299"/>
      <c r="L249" s="300">
        <f t="shared" si="53"/>
        <v>-107592.11177052422</v>
      </c>
      <c r="M249" s="305">
        <f t="shared" si="59"/>
        <v>483973.17852517695</v>
      </c>
      <c r="N249" s="307">
        <f t="shared" si="54"/>
        <v>376381.06675465271</v>
      </c>
      <c r="O249" s="299"/>
      <c r="P249" s="308" t="str">
        <f>Données!AC249</f>
        <v/>
      </c>
      <c r="Q249" s="304" t="str">
        <f>Données!AD249</f>
        <v/>
      </c>
      <c r="R249" s="299">
        <f t="shared" si="57"/>
        <v>0</v>
      </c>
      <c r="S249" s="305">
        <f t="shared" si="58"/>
        <v>0</v>
      </c>
      <c r="T249" s="299">
        <f t="shared" si="60"/>
        <v>81431.168442806578</v>
      </c>
      <c r="U249" s="309">
        <f t="shared" si="55"/>
        <v>81431.168442806578</v>
      </c>
    </row>
    <row r="250" spans="1:21" x14ac:dyDescent="0.25">
      <c r="A250" s="156">
        <f>Données!A250</f>
        <v>5851</v>
      </c>
      <c r="B250" s="157" t="str">
        <f>Données!B250</f>
        <v>Allaman</v>
      </c>
      <c r="C250" s="304">
        <f>Données!C250</f>
        <v>412</v>
      </c>
      <c r="D250" s="300">
        <f t="shared" si="51"/>
        <v>412</v>
      </c>
      <c r="E250" s="300">
        <f t="shared" si="56"/>
        <v>0</v>
      </c>
      <c r="F250" s="305">
        <f t="shared" si="65"/>
        <v>0</v>
      </c>
      <c r="G250" s="299">
        <f t="shared" si="65"/>
        <v>0</v>
      </c>
      <c r="H250" s="300">
        <f t="shared" si="65"/>
        <v>0</v>
      </c>
      <c r="I250" s="305">
        <f t="shared" si="65"/>
        <v>0</v>
      </c>
      <c r="J250" s="306">
        <f t="shared" si="52"/>
        <v>0</v>
      </c>
      <c r="K250" s="299"/>
      <c r="L250" s="300">
        <f t="shared" si="53"/>
        <v>-55065.776458951528</v>
      </c>
      <c r="M250" s="305">
        <f t="shared" si="59"/>
        <v>247698.07397810297</v>
      </c>
      <c r="N250" s="307">
        <f t="shared" si="54"/>
        <v>192632.29751915144</v>
      </c>
      <c r="O250" s="299"/>
      <c r="P250" s="308" t="str">
        <f>Données!AC250</f>
        <v/>
      </c>
      <c r="Q250" s="304" t="str">
        <f>Données!AD250</f>
        <v/>
      </c>
      <c r="R250" s="299">
        <f t="shared" si="57"/>
        <v>0</v>
      </c>
      <c r="S250" s="305">
        <f t="shared" si="58"/>
        <v>0</v>
      </c>
      <c r="T250" s="299">
        <f t="shared" si="60"/>
        <v>41676.573165759386</v>
      </c>
      <c r="U250" s="309">
        <f t="shared" si="55"/>
        <v>41676.573165759386</v>
      </c>
    </row>
    <row r="251" spans="1:21" x14ac:dyDescent="0.25">
      <c r="A251" s="156">
        <f>Données!A251</f>
        <v>5852</v>
      </c>
      <c r="B251" s="157" t="str">
        <f>Données!B251</f>
        <v>Bursinel</v>
      </c>
      <c r="C251" s="304">
        <f>Données!C251</f>
        <v>535</v>
      </c>
      <c r="D251" s="300">
        <f t="shared" si="51"/>
        <v>535</v>
      </c>
      <c r="E251" s="300">
        <f t="shared" si="56"/>
        <v>0</v>
      </c>
      <c r="F251" s="305">
        <f t="shared" si="65"/>
        <v>0</v>
      </c>
      <c r="G251" s="299">
        <f t="shared" si="65"/>
        <v>0</v>
      </c>
      <c r="H251" s="300">
        <f t="shared" si="65"/>
        <v>0</v>
      </c>
      <c r="I251" s="305">
        <f t="shared" si="65"/>
        <v>0</v>
      </c>
      <c r="J251" s="306">
        <f t="shared" si="52"/>
        <v>0</v>
      </c>
      <c r="K251" s="299"/>
      <c r="L251" s="300">
        <f t="shared" si="53"/>
        <v>-71505.316518298714</v>
      </c>
      <c r="M251" s="305">
        <f t="shared" si="59"/>
        <v>321646.77082108031</v>
      </c>
      <c r="N251" s="307">
        <f t="shared" si="54"/>
        <v>250141.45430278161</v>
      </c>
      <c r="O251" s="299"/>
      <c r="P251" s="308" t="str">
        <f>Données!AC251</f>
        <v/>
      </c>
      <c r="Q251" s="304" t="str">
        <f>Données!AD251</f>
        <v/>
      </c>
      <c r="R251" s="299">
        <f t="shared" si="57"/>
        <v>0</v>
      </c>
      <c r="S251" s="305">
        <f t="shared" si="58"/>
        <v>0</v>
      </c>
      <c r="T251" s="299">
        <f t="shared" si="60"/>
        <v>54118.851076896295</v>
      </c>
      <c r="U251" s="309">
        <f t="shared" si="55"/>
        <v>54118.851076896295</v>
      </c>
    </row>
    <row r="252" spans="1:21" x14ac:dyDescent="0.25">
      <c r="A252" s="156">
        <f>Données!A252</f>
        <v>5853</v>
      </c>
      <c r="B252" s="157" t="str">
        <f>Données!B252</f>
        <v>Bursins</v>
      </c>
      <c r="C252" s="304">
        <f>Données!C252</f>
        <v>831</v>
      </c>
      <c r="D252" s="300">
        <f t="shared" si="51"/>
        <v>831</v>
      </c>
      <c r="E252" s="300">
        <f t="shared" si="56"/>
        <v>0</v>
      </c>
      <c r="F252" s="305">
        <f t="shared" si="65"/>
        <v>0</v>
      </c>
      <c r="G252" s="299">
        <f t="shared" si="65"/>
        <v>0</v>
      </c>
      <c r="H252" s="300">
        <f t="shared" si="65"/>
        <v>0</v>
      </c>
      <c r="I252" s="305">
        <f t="shared" si="65"/>
        <v>0</v>
      </c>
      <c r="J252" s="306">
        <f t="shared" si="52"/>
        <v>0</v>
      </c>
      <c r="K252" s="299"/>
      <c r="L252" s="300">
        <f t="shared" si="53"/>
        <v>-111067.13649851631</v>
      </c>
      <c r="M252" s="305">
        <f t="shared" si="59"/>
        <v>499604.61037816404</v>
      </c>
      <c r="N252" s="307">
        <f t="shared" si="54"/>
        <v>388537.47387964773</v>
      </c>
      <c r="O252" s="299"/>
      <c r="P252" s="308" t="str">
        <f>Données!AC252</f>
        <v/>
      </c>
      <c r="Q252" s="304" t="str">
        <f>Données!AD252</f>
        <v/>
      </c>
      <c r="R252" s="299">
        <f t="shared" si="57"/>
        <v>0</v>
      </c>
      <c r="S252" s="305">
        <f t="shared" si="58"/>
        <v>0</v>
      </c>
      <c r="T252" s="299">
        <f t="shared" si="60"/>
        <v>84061.243448412744</v>
      </c>
      <c r="U252" s="309">
        <f t="shared" si="55"/>
        <v>84061.243448412744</v>
      </c>
    </row>
    <row r="253" spans="1:21" x14ac:dyDescent="0.25">
      <c r="A253" s="156">
        <f>Données!A253</f>
        <v>5854</v>
      </c>
      <c r="B253" s="157" t="str">
        <f>Données!B253</f>
        <v>Burtigny</v>
      </c>
      <c r="C253" s="304">
        <f>Données!C253</f>
        <v>406</v>
      </c>
      <c r="D253" s="300">
        <f t="shared" si="51"/>
        <v>406</v>
      </c>
      <c r="E253" s="300">
        <f t="shared" si="56"/>
        <v>0</v>
      </c>
      <c r="F253" s="305">
        <f t="shared" si="65"/>
        <v>0</v>
      </c>
      <c r="G253" s="299">
        <f t="shared" si="65"/>
        <v>0</v>
      </c>
      <c r="H253" s="300">
        <f t="shared" si="65"/>
        <v>0</v>
      </c>
      <c r="I253" s="305">
        <f t="shared" si="65"/>
        <v>0</v>
      </c>
      <c r="J253" s="306">
        <f t="shared" si="52"/>
        <v>0</v>
      </c>
      <c r="K253" s="299"/>
      <c r="L253" s="300">
        <f t="shared" si="53"/>
        <v>-54263.847675568744</v>
      </c>
      <c r="M253" s="305">
        <f t="shared" si="59"/>
        <v>244090.8204735675</v>
      </c>
      <c r="N253" s="307">
        <f t="shared" si="54"/>
        <v>189826.97279799875</v>
      </c>
      <c r="O253" s="299"/>
      <c r="P253" s="308" t="str">
        <f>Données!AC253</f>
        <v/>
      </c>
      <c r="Q253" s="304" t="str">
        <f>Données!AD253</f>
        <v/>
      </c>
      <c r="R253" s="299">
        <f t="shared" si="57"/>
        <v>0</v>
      </c>
      <c r="S253" s="305">
        <f t="shared" si="58"/>
        <v>0</v>
      </c>
      <c r="T253" s="299">
        <f t="shared" si="60"/>
        <v>41069.632779850268</v>
      </c>
      <c r="U253" s="309">
        <f t="shared" si="55"/>
        <v>41069.632779850268</v>
      </c>
    </row>
    <row r="254" spans="1:21" x14ac:dyDescent="0.25">
      <c r="A254" s="156">
        <f>Données!A254</f>
        <v>5855</v>
      </c>
      <c r="B254" s="157" t="str">
        <f>Données!B254</f>
        <v>Dully</v>
      </c>
      <c r="C254" s="304">
        <f>Données!C254</f>
        <v>637</v>
      </c>
      <c r="D254" s="300">
        <f t="shared" si="51"/>
        <v>637</v>
      </c>
      <c r="E254" s="300">
        <f t="shared" si="56"/>
        <v>0</v>
      </c>
      <c r="F254" s="305">
        <f t="shared" si="65"/>
        <v>0</v>
      </c>
      <c r="G254" s="299">
        <f t="shared" si="65"/>
        <v>0</v>
      </c>
      <c r="H254" s="300">
        <f t="shared" si="65"/>
        <v>0</v>
      </c>
      <c r="I254" s="305">
        <f t="shared" si="65"/>
        <v>0</v>
      </c>
      <c r="J254" s="306">
        <f t="shared" si="52"/>
        <v>0</v>
      </c>
      <c r="K254" s="299"/>
      <c r="L254" s="300">
        <f t="shared" si="53"/>
        <v>-85138.105835806127</v>
      </c>
      <c r="M254" s="305">
        <f t="shared" si="59"/>
        <v>382970.08039818349</v>
      </c>
      <c r="N254" s="307">
        <f t="shared" si="54"/>
        <v>297831.97456237738</v>
      </c>
      <c r="O254" s="299"/>
      <c r="P254" s="308" t="str">
        <f>Données!AC254</f>
        <v/>
      </c>
      <c r="Q254" s="304" t="str">
        <f>Données!AD254</f>
        <v/>
      </c>
      <c r="R254" s="299">
        <f t="shared" si="57"/>
        <v>0</v>
      </c>
      <c r="S254" s="305">
        <f t="shared" si="58"/>
        <v>0</v>
      </c>
      <c r="T254" s="299">
        <f t="shared" si="60"/>
        <v>64436.837637351287</v>
      </c>
      <c r="U254" s="309">
        <f t="shared" si="55"/>
        <v>64436.837637351287</v>
      </c>
    </row>
    <row r="255" spans="1:21" x14ac:dyDescent="0.25">
      <c r="A255" s="156">
        <f>Données!A255</f>
        <v>5856</v>
      </c>
      <c r="B255" s="157" t="str">
        <f>Données!B255</f>
        <v>Essertines-sur-Rolle</v>
      </c>
      <c r="C255" s="304">
        <f>Données!C255</f>
        <v>770</v>
      </c>
      <c r="D255" s="300">
        <f t="shared" si="51"/>
        <v>770</v>
      </c>
      <c r="E255" s="300">
        <f t="shared" si="56"/>
        <v>0</v>
      </c>
      <c r="F255" s="305">
        <f t="shared" si="65"/>
        <v>0</v>
      </c>
      <c r="G255" s="299">
        <f t="shared" si="65"/>
        <v>0</v>
      </c>
      <c r="H255" s="300">
        <f t="shared" si="65"/>
        <v>0</v>
      </c>
      <c r="I255" s="305">
        <f t="shared" si="65"/>
        <v>0</v>
      </c>
      <c r="J255" s="306">
        <f t="shared" si="52"/>
        <v>0</v>
      </c>
      <c r="K255" s="299"/>
      <c r="L255" s="300">
        <f t="shared" si="53"/>
        <v>-102914.19386745796</v>
      </c>
      <c r="M255" s="305">
        <f t="shared" si="59"/>
        <v>462930.86641538661</v>
      </c>
      <c r="N255" s="307">
        <f t="shared" si="54"/>
        <v>360016.67254792864</v>
      </c>
      <c r="O255" s="299"/>
      <c r="P255" s="308" t="str">
        <f>Données!AC255</f>
        <v/>
      </c>
      <c r="Q255" s="304" t="str">
        <f>Données!AD255</f>
        <v/>
      </c>
      <c r="R255" s="299">
        <f t="shared" si="57"/>
        <v>0</v>
      </c>
      <c r="S255" s="305">
        <f t="shared" si="58"/>
        <v>0</v>
      </c>
      <c r="T255" s="299">
        <f t="shared" si="60"/>
        <v>77890.682858336717</v>
      </c>
      <c r="U255" s="309">
        <f t="shared" si="55"/>
        <v>77890.682858336717</v>
      </c>
    </row>
    <row r="256" spans="1:21" x14ac:dyDescent="0.25">
      <c r="A256" s="156">
        <f>Données!A256</f>
        <v>5857</v>
      </c>
      <c r="B256" s="157" t="str">
        <f>Données!B256</f>
        <v>Gilly</v>
      </c>
      <c r="C256" s="304">
        <f>Données!C256</f>
        <v>1429</v>
      </c>
      <c r="D256" s="300">
        <f t="shared" si="51"/>
        <v>1000</v>
      </c>
      <c r="E256" s="300">
        <f t="shared" si="56"/>
        <v>429</v>
      </c>
      <c r="F256" s="305">
        <f t="shared" ref="F256:I263" si="66">IF($C256&lt;F$4,0,IF($C256&gt;F$5,F$5-F$4,$C256-F$4))</f>
        <v>0</v>
      </c>
      <c r="G256" s="299">
        <f t="shared" si="66"/>
        <v>0</v>
      </c>
      <c r="H256" s="300">
        <f t="shared" si="66"/>
        <v>0</v>
      </c>
      <c r="I256" s="305">
        <f t="shared" si="66"/>
        <v>0</v>
      </c>
      <c r="J256" s="306">
        <f t="shared" si="52"/>
        <v>0</v>
      </c>
      <c r="K256" s="299"/>
      <c r="L256" s="300">
        <f t="shared" si="53"/>
        <v>-294200.9396636993</v>
      </c>
      <c r="M256" s="305">
        <f t="shared" si="59"/>
        <v>859127.54299686686</v>
      </c>
      <c r="N256" s="307">
        <f t="shared" si="54"/>
        <v>564926.6033331675</v>
      </c>
      <c r="O256" s="299"/>
      <c r="P256" s="308" t="str">
        <f>Données!AC256</f>
        <v/>
      </c>
      <c r="Q256" s="304" t="str">
        <f>Données!AD256</f>
        <v/>
      </c>
      <c r="R256" s="299">
        <f t="shared" si="57"/>
        <v>0</v>
      </c>
      <c r="S256" s="305">
        <f t="shared" si="58"/>
        <v>0</v>
      </c>
      <c r="T256" s="299">
        <f t="shared" si="60"/>
        <v>144552.96857735477</v>
      </c>
      <c r="U256" s="309">
        <f t="shared" si="55"/>
        <v>144552.96857735477</v>
      </c>
    </row>
    <row r="257" spans="1:21" x14ac:dyDescent="0.25">
      <c r="A257" s="156">
        <f>Données!A257</f>
        <v>5858</v>
      </c>
      <c r="B257" s="157" t="str">
        <f>Données!B257</f>
        <v>Luins</v>
      </c>
      <c r="C257" s="304">
        <f>Données!C257</f>
        <v>640</v>
      </c>
      <c r="D257" s="300">
        <f t="shared" si="51"/>
        <v>640</v>
      </c>
      <c r="E257" s="300">
        <f t="shared" si="56"/>
        <v>0</v>
      </c>
      <c r="F257" s="305">
        <f t="shared" si="66"/>
        <v>0</v>
      </c>
      <c r="G257" s="299">
        <f t="shared" si="66"/>
        <v>0</v>
      </c>
      <c r="H257" s="300">
        <f t="shared" si="66"/>
        <v>0</v>
      </c>
      <c r="I257" s="305">
        <f t="shared" si="66"/>
        <v>0</v>
      </c>
      <c r="J257" s="306">
        <f t="shared" si="52"/>
        <v>0</v>
      </c>
      <c r="K257" s="299"/>
      <c r="L257" s="300">
        <f t="shared" si="53"/>
        <v>-85539.070227497519</v>
      </c>
      <c r="M257" s="305">
        <f t="shared" si="59"/>
        <v>384773.70715045126</v>
      </c>
      <c r="N257" s="307">
        <f t="shared" si="54"/>
        <v>299234.63692295377</v>
      </c>
      <c r="O257" s="299"/>
      <c r="P257" s="308" t="str">
        <f>Données!AC257</f>
        <v/>
      </c>
      <c r="Q257" s="304" t="str">
        <f>Données!AD257</f>
        <v/>
      </c>
      <c r="R257" s="299">
        <f t="shared" si="57"/>
        <v>0</v>
      </c>
      <c r="S257" s="305">
        <f t="shared" si="58"/>
        <v>0</v>
      </c>
      <c r="T257" s="299">
        <f t="shared" si="60"/>
        <v>64740.307830305843</v>
      </c>
      <c r="U257" s="309">
        <f t="shared" si="55"/>
        <v>64740.307830305843</v>
      </c>
    </row>
    <row r="258" spans="1:21" x14ac:dyDescent="0.25">
      <c r="A258" s="156">
        <f>Données!A258</f>
        <v>5859</v>
      </c>
      <c r="B258" s="157" t="str">
        <f>Données!B258</f>
        <v>Mont-sur-Rolle</v>
      </c>
      <c r="C258" s="304">
        <f>Données!C258</f>
        <v>2759</v>
      </c>
      <c r="D258" s="300">
        <f t="shared" si="51"/>
        <v>1000</v>
      </c>
      <c r="E258" s="300">
        <f t="shared" si="56"/>
        <v>1759</v>
      </c>
      <c r="F258" s="305">
        <f t="shared" si="66"/>
        <v>0</v>
      </c>
      <c r="G258" s="299">
        <f t="shared" si="66"/>
        <v>0</v>
      </c>
      <c r="H258" s="300">
        <f t="shared" si="66"/>
        <v>0</v>
      </c>
      <c r="I258" s="305">
        <f t="shared" si="66"/>
        <v>0</v>
      </c>
      <c r="J258" s="306">
        <f t="shared" si="52"/>
        <v>0</v>
      </c>
      <c r="K258" s="299"/>
      <c r="L258" s="300">
        <f t="shared" si="53"/>
        <v>-791931.4045499505</v>
      </c>
      <c r="M258" s="305">
        <f t="shared" si="59"/>
        <v>1658735.4031688983</v>
      </c>
      <c r="N258" s="307">
        <f t="shared" si="54"/>
        <v>866803.99861894781</v>
      </c>
      <c r="O258" s="299"/>
      <c r="P258" s="308" t="str">
        <f>Données!AC258</f>
        <v/>
      </c>
      <c r="Q258" s="304" t="str">
        <f>Données!AD258</f>
        <v/>
      </c>
      <c r="R258" s="299">
        <f t="shared" si="57"/>
        <v>0</v>
      </c>
      <c r="S258" s="305">
        <f t="shared" si="58"/>
        <v>0</v>
      </c>
      <c r="T258" s="299">
        <f t="shared" si="60"/>
        <v>279091.42078720912</v>
      </c>
      <c r="U258" s="309">
        <f t="shared" si="55"/>
        <v>279091.42078720912</v>
      </c>
    </row>
    <row r="259" spans="1:21" x14ac:dyDescent="0.25">
      <c r="A259" s="156">
        <f>Données!A259</f>
        <v>5860</v>
      </c>
      <c r="B259" s="157" t="str">
        <f>Données!B259</f>
        <v>Perroy</v>
      </c>
      <c r="C259" s="304">
        <f>Données!C259</f>
        <v>1573</v>
      </c>
      <c r="D259" s="300">
        <f t="shared" si="51"/>
        <v>1000</v>
      </c>
      <c r="E259" s="300">
        <f t="shared" si="56"/>
        <v>573</v>
      </c>
      <c r="F259" s="305">
        <f t="shared" si="66"/>
        <v>0</v>
      </c>
      <c r="G259" s="299">
        <f t="shared" si="66"/>
        <v>0</v>
      </c>
      <c r="H259" s="300">
        <f t="shared" si="66"/>
        <v>0</v>
      </c>
      <c r="I259" s="305">
        <f t="shared" si="66"/>
        <v>0</v>
      </c>
      <c r="J259" s="306">
        <f t="shared" si="52"/>
        <v>0</v>
      </c>
      <c r="K259" s="299"/>
      <c r="L259" s="300">
        <f t="shared" si="53"/>
        <v>-348090.5539070227</v>
      </c>
      <c r="M259" s="305">
        <f t="shared" si="59"/>
        <v>945701.62710571836</v>
      </c>
      <c r="N259" s="307">
        <f t="shared" si="54"/>
        <v>597611.07319869567</v>
      </c>
      <c r="O259" s="299"/>
      <c r="P259" s="308" t="str">
        <f>Données!AC259</f>
        <v/>
      </c>
      <c r="Q259" s="304" t="str">
        <f>Données!AD259</f>
        <v/>
      </c>
      <c r="R259" s="299">
        <f t="shared" si="57"/>
        <v>0</v>
      </c>
      <c r="S259" s="305">
        <f t="shared" si="58"/>
        <v>0</v>
      </c>
      <c r="T259" s="299">
        <f t="shared" si="60"/>
        <v>159119.5378391736</v>
      </c>
      <c r="U259" s="309">
        <f t="shared" si="55"/>
        <v>159119.5378391736</v>
      </c>
    </row>
    <row r="260" spans="1:21" x14ac:dyDescent="0.25">
      <c r="A260" s="156">
        <f>Données!A260</f>
        <v>5861</v>
      </c>
      <c r="B260" s="157" t="str">
        <f>Données!B260</f>
        <v>Rolle</v>
      </c>
      <c r="C260" s="304">
        <f>Données!C260</f>
        <v>6604</v>
      </c>
      <c r="D260" s="300">
        <f t="shared" si="51"/>
        <v>1000</v>
      </c>
      <c r="E260" s="300">
        <f t="shared" si="56"/>
        <v>2000</v>
      </c>
      <c r="F260" s="305">
        <f t="shared" si="66"/>
        <v>3604</v>
      </c>
      <c r="G260" s="299">
        <f t="shared" si="66"/>
        <v>0</v>
      </c>
      <c r="H260" s="300">
        <f t="shared" si="66"/>
        <v>0</v>
      </c>
      <c r="I260" s="305">
        <f t="shared" si="66"/>
        <v>0</v>
      </c>
      <c r="J260" s="306">
        <f t="shared" si="52"/>
        <v>0</v>
      </c>
      <c r="K260" s="299"/>
      <c r="L260" s="300">
        <f t="shared" si="53"/>
        <v>-3290581.1078140456</v>
      </c>
      <c r="M260" s="305">
        <f t="shared" si="59"/>
        <v>3970383.6906587188</v>
      </c>
      <c r="N260" s="307">
        <f t="shared" si="54"/>
        <v>679802.58284467319</v>
      </c>
      <c r="O260" s="299"/>
      <c r="P260" s="308">
        <f>Données!AC260</f>
        <v>354569.1</v>
      </c>
      <c r="Q260" s="304">
        <f>Données!AD260</f>
        <v>24469</v>
      </c>
      <c r="R260" s="299">
        <f t="shared" si="57"/>
        <v>379038.1</v>
      </c>
      <c r="S260" s="305">
        <f t="shared" si="58"/>
        <v>-227422.86</v>
      </c>
      <c r="T260" s="299">
        <f t="shared" si="60"/>
        <v>668039.0514239684</v>
      </c>
      <c r="U260" s="309">
        <f t="shared" si="55"/>
        <v>440616.19142396841</v>
      </c>
    </row>
    <row r="261" spans="1:21" x14ac:dyDescent="0.25">
      <c r="A261" s="156">
        <f>Données!A261</f>
        <v>5862</v>
      </c>
      <c r="B261" s="157" t="str">
        <f>Données!B261</f>
        <v>Tartegnin</v>
      </c>
      <c r="C261" s="304">
        <f>Données!C261</f>
        <v>246</v>
      </c>
      <c r="D261" s="300">
        <f t="shared" ref="D261:D301" si="67">IF(C261&gt;$D$5,$D$5-$D$4,C261)</f>
        <v>246</v>
      </c>
      <c r="E261" s="300">
        <f t="shared" si="56"/>
        <v>0</v>
      </c>
      <c r="F261" s="305">
        <f t="shared" si="66"/>
        <v>0</v>
      </c>
      <c r="G261" s="299">
        <f t="shared" si="66"/>
        <v>0</v>
      </c>
      <c r="H261" s="300">
        <f t="shared" si="66"/>
        <v>0</v>
      </c>
      <c r="I261" s="305">
        <f t="shared" si="66"/>
        <v>0</v>
      </c>
      <c r="J261" s="306">
        <f t="shared" ref="J261:J301" si="68">IF($C261&lt;J$4,0,$C261-J$4)</f>
        <v>0</v>
      </c>
      <c r="K261" s="299"/>
      <c r="L261" s="300">
        <f t="shared" ref="L261:L301" si="69">-SUMPRODUCT($D$6:$J$6,D261:J261)</f>
        <v>-32879.080118694357</v>
      </c>
      <c r="M261" s="305">
        <f t="shared" si="59"/>
        <v>147897.39368595468</v>
      </c>
      <c r="N261" s="307">
        <f t="shared" ref="N261:N301" si="70">SUM(L261:M261)</f>
        <v>115018.31356726032</v>
      </c>
      <c r="O261" s="299"/>
      <c r="P261" s="308" t="str">
        <f>Données!AC261</f>
        <v/>
      </c>
      <c r="Q261" s="304" t="str">
        <f>Données!AD261</f>
        <v/>
      </c>
      <c r="R261" s="299">
        <f t="shared" si="57"/>
        <v>0</v>
      </c>
      <c r="S261" s="305">
        <f t="shared" si="58"/>
        <v>0</v>
      </c>
      <c r="T261" s="299">
        <f t="shared" si="60"/>
        <v>24884.555822273811</v>
      </c>
      <c r="U261" s="309">
        <f t="shared" ref="U261:U302" si="71">S261+T261</f>
        <v>24884.555822273811</v>
      </c>
    </row>
    <row r="262" spans="1:21" x14ac:dyDescent="0.25">
      <c r="A262" s="156">
        <f>Données!A262</f>
        <v>5863</v>
      </c>
      <c r="B262" s="157" t="str">
        <f>Données!B262</f>
        <v>Vinzel</v>
      </c>
      <c r="C262" s="304">
        <f>Données!C262</f>
        <v>385</v>
      </c>
      <c r="D262" s="300">
        <f t="shared" si="67"/>
        <v>385</v>
      </c>
      <c r="E262" s="300">
        <f t="shared" ref="E262:E301" si="72">IF(C262&lt;$E$4,0,IF(C262&gt;$E$5,$E$5-$E$4,C262-$E$4))</f>
        <v>0</v>
      </c>
      <c r="F262" s="305">
        <f t="shared" si="66"/>
        <v>0</v>
      </c>
      <c r="G262" s="299">
        <f t="shared" si="66"/>
        <v>0</v>
      </c>
      <c r="H262" s="300">
        <f t="shared" si="66"/>
        <v>0</v>
      </c>
      <c r="I262" s="305">
        <f t="shared" si="66"/>
        <v>0</v>
      </c>
      <c r="J262" s="306">
        <f t="shared" si="68"/>
        <v>0</v>
      </c>
      <c r="K262" s="299"/>
      <c r="L262" s="300">
        <f t="shared" si="69"/>
        <v>-51457.096933728979</v>
      </c>
      <c r="M262" s="305">
        <f t="shared" si="59"/>
        <v>231465.43320769331</v>
      </c>
      <c r="N262" s="307">
        <f t="shared" si="70"/>
        <v>180008.33627396432</v>
      </c>
      <c r="O262" s="299"/>
      <c r="P262" s="308" t="str">
        <f>Données!AC262</f>
        <v/>
      </c>
      <c r="Q262" s="304" t="str">
        <f>Données!AD262</f>
        <v/>
      </c>
      <c r="R262" s="299">
        <f t="shared" ref="R262:R301" si="73">SUM(P262:Q262)</f>
        <v>0</v>
      </c>
      <c r="S262" s="305">
        <f t="shared" ref="S262:S301" si="74">-R262*$P$6</f>
        <v>0</v>
      </c>
      <c r="T262" s="299">
        <f t="shared" si="60"/>
        <v>38945.341429168358</v>
      </c>
      <c r="U262" s="309">
        <f t="shared" si="71"/>
        <v>38945.341429168358</v>
      </c>
    </row>
    <row r="263" spans="1:21" x14ac:dyDescent="0.25">
      <c r="A263" s="156">
        <f>Données!A263</f>
        <v>5940</v>
      </c>
      <c r="B263" s="157" t="str">
        <f>Données!B263</f>
        <v>La Vallée de Joux</v>
      </c>
      <c r="C263" s="304">
        <f>Données!C263</f>
        <v>7317</v>
      </c>
      <c r="D263" s="300">
        <f t="shared" si="67"/>
        <v>1000</v>
      </c>
      <c r="E263" s="300">
        <f t="shared" si="72"/>
        <v>2000</v>
      </c>
      <c r="F263" s="305">
        <f t="shared" si="66"/>
        <v>4317</v>
      </c>
      <c r="G263" s="299">
        <f t="shared" si="66"/>
        <v>0</v>
      </c>
      <c r="H263" s="300">
        <f t="shared" si="66"/>
        <v>0</v>
      </c>
      <c r="I263" s="305">
        <f t="shared" si="66"/>
        <v>0</v>
      </c>
      <c r="J263" s="306">
        <f t="shared" si="68"/>
        <v>0</v>
      </c>
      <c r="K263" s="299"/>
      <c r="L263" s="300">
        <f t="shared" si="69"/>
        <v>-3767060.4599406533</v>
      </c>
      <c r="M263" s="305">
        <f t="shared" si="59"/>
        <v>4399045.6487810183</v>
      </c>
      <c r="N263" s="307">
        <f t="shared" si="70"/>
        <v>631985.18884036504</v>
      </c>
      <c r="O263" s="299"/>
      <c r="P263" s="308" t="str">
        <f>Données!AC263</f>
        <v/>
      </c>
      <c r="Q263" s="304" t="str">
        <f>Données!AD263</f>
        <v/>
      </c>
      <c r="R263" s="299">
        <f t="shared" si="73"/>
        <v>0</v>
      </c>
      <c r="S263" s="305">
        <f t="shared" si="74"/>
        <v>0</v>
      </c>
      <c r="T263" s="299">
        <f t="shared" si="60"/>
        <v>740163.80061616853</v>
      </c>
      <c r="U263" s="309">
        <f t="shared" si="71"/>
        <v>740163.80061616853</v>
      </c>
    </row>
    <row r="264" spans="1:21" x14ac:dyDescent="0.25">
      <c r="A264" s="156">
        <f>Données!A264</f>
        <v>5882</v>
      </c>
      <c r="B264" s="157" t="str">
        <f>Données!B264</f>
        <v>Chardonne</v>
      </c>
      <c r="C264" s="304">
        <f>Données!C264</f>
        <v>3384</v>
      </c>
      <c r="D264" s="300">
        <f t="shared" si="67"/>
        <v>1000</v>
      </c>
      <c r="E264" s="300">
        <f t="shared" si="72"/>
        <v>2000</v>
      </c>
      <c r="F264" s="305">
        <f t="shared" ref="F264:I273" si="75">IF($C264&lt;F$4,0,IF($C264&gt;F$5,F$5-F$4,$C264-F$4))</f>
        <v>384</v>
      </c>
      <c r="G264" s="299">
        <f t="shared" si="75"/>
        <v>0</v>
      </c>
      <c r="H264" s="300">
        <f t="shared" si="75"/>
        <v>0</v>
      </c>
      <c r="I264" s="305">
        <f t="shared" si="75"/>
        <v>0</v>
      </c>
      <c r="J264" s="306">
        <f t="shared" si="68"/>
        <v>0</v>
      </c>
      <c r="K264" s="299"/>
      <c r="L264" s="300">
        <f t="shared" si="69"/>
        <v>-1138738.8724035607</v>
      </c>
      <c r="M264" s="305">
        <f t="shared" ref="M264:M301" si="76">(-$L$6)/($C$302)*C264</f>
        <v>2034490.9765580108</v>
      </c>
      <c r="N264" s="307">
        <f t="shared" si="70"/>
        <v>895752.10415445012</v>
      </c>
      <c r="O264" s="299"/>
      <c r="P264" s="308" t="str">
        <f>Données!AC264</f>
        <v/>
      </c>
      <c r="Q264" s="304" t="str">
        <f>Données!AD264</f>
        <v/>
      </c>
      <c r="R264" s="299">
        <f t="shared" si="73"/>
        <v>0</v>
      </c>
      <c r="S264" s="305">
        <f t="shared" si="74"/>
        <v>0</v>
      </c>
      <c r="T264" s="299">
        <f t="shared" ref="T264:T301" si="77">-$S$6/$C$302*C264</f>
        <v>342314.37765274214</v>
      </c>
      <c r="U264" s="309">
        <f t="shared" si="71"/>
        <v>342314.37765274214</v>
      </c>
    </row>
    <row r="265" spans="1:21" x14ac:dyDescent="0.25">
      <c r="A265" s="156">
        <f>Données!A265</f>
        <v>5883</v>
      </c>
      <c r="B265" s="157" t="str">
        <f>Données!B265</f>
        <v>Corseaux</v>
      </c>
      <c r="C265" s="304">
        <f>Données!C265</f>
        <v>2326</v>
      </c>
      <c r="D265" s="300">
        <f t="shared" si="67"/>
        <v>1000</v>
      </c>
      <c r="E265" s="300">
        <f t="shared" si="72"/>
        <v>1326</v>
      </c>
      <c r="F265" s="305">
        <f t="shared" si="75"/>
        <v>0</v>
      </c>
      <c r="G265" s="299">
        <f t="shared" si="75"/>
        <v>0</v>
      </c>
      <c r="H265" s="300">
        <f t="shared" si="75"/>
        <v>0</v>
      </c>
      <c r="I265" s="305">
        <f t="shared" si="75"/>
        <v>0</v>
      </c>
      <c r="J265" s="306">
        <f t="shared" si="68"/>
        <v>0</v>
      </c>
      <c r="K265" s="299"/>
      <c r="L265" s="300">
        <f t="shared" si="69"/>
        <v>-629888.32838773495</v>
      </c>
      <c r="M265" s="305">
        <f t="shared" si="76"/>
        <v>1398411.9419249212</v>
      </c>
      <c r="N265" s="307">
        <f t="shared" si="70"/>
        <v>768523.61353718629</v>
      </c>
      <c r="O265" s="299"/>
      <c r="P265" s="308">
        <f>Données!AC265</f>
        <v>328763.90000000002</v>
      </c>
      <c r="Q265" s="304">
        <f>Données!AD265</f>
        <v>-33812.300000000003</v>
      </c>
      <c r="R265" s="299">
        <f t="shared" si="73"/>
        <v>294951.60000000003</v>
      </c>
      <c r="S265" s="305">
        <f t="shared" si="74"/>
        <v>-176970.96000000002</v>
      </c>
      <c r="T265" s="299">
        <f t="shared" si="77"/>
        <v>235290.55627076782</v>
      </c>
      <c r="U265" s="309">
        <f t="shared" si="71"/>
        <v>58319.596270767797</v>
      </c>
    </row>
    <row r="266" spans="1:21" x14ac:dyDescent="0.25">
      <c r="A266" s="156">
        <f>Données!A266</f>
        <v>5884</v>
      </c>
      <c r="B266" s="157" t="str">
        <f>Données!B266</f>
        <v>Corsier-sur-Vevey</v>
      </c>
      <c r="C266" s="304">
        <f>Données!C266</f>
        <v>3458</v>
      </c>
      <c r="D266" s="300">
        <f t="shared" si="67"/>
        <v>1000</v>
      </c>
      <c r="E266" s="300">
        <f t="shared" si="72"/>
        <v>2000</v>
      </c>
      <c r="F266" s="305">
        <f t="shared" si="75"/>
        <v>458</v>
      </c>
      <c r="G266" s="299">
        <f t="shared" si="75"/>
        <v>0</v>
      </c>
      <c r="H266" s="300">
        <f t="shared" si="75"/>
        <v>0</v>
      </c>
      <c r="I266" s="305">
        <f t="shared" si="75"/>
        <v>0</v>
      </c>
      <c r="J266" s="306">
        <f t="shared" si="68"/>
        <v>0</v>
      </c>
      <c r="K266" s="299"/>
      <c r="L266" s="300">
        <f t="shared" si="69"/>
        <v>-1188191.1473788328</v>
      </c>
      <c r="M266" s="305">
        <f t="shared" si="76"/>
        <v>2078980.4364472819</v>
      </c>
      <c r="N266" s="307">
        <f t="shared" si="70"/>
        <v>890789.28906844906</v>
      </c>
      <c r="O266" s="299"/>
      <c r="P266" s="308">
        <f>Données!AC266</f>
        <v>921394.07</v>
      </c>
      <c r="Q266" s="304">
        <f>Données!AD266</f>
        <v>-79462.060000000056</v>
      </c>
      <c r="R266" s="299">
        <f t="shared" si="73"/>
        <v>841932.00999999989</v>
      </c>
      <c r="S266" s="305">
        <f t="shared" si="74"/>
        <v>-505159.20599999989</v>
      </c>
      <c r="T266" s="299">
        <f t="shared" si="77"/>
        <v>349799.97574562125</v>
      </c>
      <c r="U266" s="309">
        <f t="shared" si="71"/>
        <v>-155359.23025437864</v>
      </c>
    </row>
    <row r="267" spans="1:21" x14ac:dyDescent="0.25">
      <c r="A267" s="156">
        <f>Données!A267</f>
        <v>5885</v>
      </c>
      <c r="B267" s="157" t="str">
        <f>Données!B267</f>
        <v>Jongny</v>
      </c>
      <c r="C267" s="304">
        <f>Données!C267</f>
        <v>1917</v>
      </c>
      <c r="D267" s="300">
        <f t="shared" si="67"/>
        <v>1000</v>
      </c>
      <c r="E267" s="300">
        <f t="shared" si="72"/>
        <v>917</v>
      </c>
      <c r="F267" s="305">
        <f t="shared" si="75"/>
        <v>0</v>
      </c>
      <c r="G267" s="299">
        <f t="shared" si="75"/>
        <v>0</v>
      </c>
      <c r="H267" s="300">
        <f t="shared" si="75"/>
        <v>0</v>
      </c>
      <c r="I267" s="305">
        <f t="shared" si="75"/>
        <v>0</v>
      </c>
      <c r="J267" s="306">
        <f t="shared" si="68"/>
        <v>0</v>
      </c>
      <c r="K267" s="299"/>
      <c r="L267" s="300">
        <f t="shared" si="69"/>
        <v>-476826.85459940654</v>
      </c>
      <c r="M267" s="305">
        <f t="shared" si="76"/>
        <v>1152517.4946990858</v>
      </c>
      <c r="N267" s="307">
        <f t="shared" si="70"/>
        <v>675690.64009967935</v>
      </c>
      <c r="O267" s="299"/>
      <c r="P267" s="308" t="str">
        <f>Données!AC267</f>
        <v/>
      </c>
      <c r="Q267" s="304" t="str">
        <f>Données!AD267</f>
        <v/>
      </c>
      <c r="R267" s="299">
        <f t="shared" si="73"/>
        <v>0</v>
      </c>
      <c r="S267" s="305">
        <f t="shared" si="74"/>
        <v>0</v>
      </c>
      <c r="T267" s="299">
        <f t="shared" si="77"/>
        <v>193917.45329796299</v>
      </c>
      <c r="U267" s="309">
        <f t="shared" si="71"/>
        <v>193917.45329796299</v>
      </c>
    </row>
    <row r="268" spans="1:21" x14ac:dyDescent="0.25">
      <c r="A268" s="156">
        <f>Données!A268</f>
        <v>5886</v>
      </c>
      <c r="B268" s="157" t="str">
        <f>Données!B268</f>
        <v>Montreux</v>
      </c>
      <c r="C268" s="304">
        <f>Données!C268</f>
        <v>27166</v>
      </c>
      <c r="D268" s="300">
        <f t="shared" si="67"/>
        <v>1000</v>
      </c>
      <c r="E268" s="300">
        <f t="shared" si="72"/>
        <v>2000</v>
      </c>
      <c r="F268" s="305">
        <f t="shared" si="75"/>
        <v>9000</v>
      </c>
      <c r="G268" s="299">
        <f t="shared" si="75"/>
        <v>3000</v>
      </c>
      <c r="H268" s="300">
        <f t="shared" si="75"/>
        <v>12166</v>
      </c>
      <c r="I268" s="305">
        <f t="shared" si="75"/>
        <v>0</v>
      </c>
      <c r="J268" s="306">
        <f t="shared" si="68"/>
        <v>0</v>
      </c>
      <c r="K268" s="299"/>
      <c r="L268" s="300">
        <f t="shared" si="69"/>
        <v>-23763074.480712168</v>
      </c>
      <c r="M268" s="305">
        <f t="shared" si="76"/>
        <v>16332441.450701809</v>
      </c>
      <c r="N268" s="307">
        <f t="shared" si="70"/>
        <v>-7430633.0300103594</v>
      </c>
      <c r="O268" s="299"/>
      <c r="P268" s="308">
        <f>Données!AC268</f>
        <v>5044234.1500000004</v>
      </c>
      <c r="Q268" s="304">
        <f>Données!AD268</f>
        <v>-1575069.22</v>
      </c>
      <c r="R268" s="299">
        <f t="shared" si="73"/>
        <v>3469164.9300000006</v>
      </c>
      <c r="S268" s="305">
        <f t="shared" si="74"/>
        <v>-2081498.9580000003</v>
      </c>
      <c r="T268" s="299">
        <f t="shared" si="77"/>
        <v>2748023.7539345133</v>
      </c>
      <c r="U268" s="309">
        <f t="shared" si="71"/>
        <v>666524.79593451298</v>
      </c>
    </row>
    <row r="269" spans="1:21" x14ac:dyDescent="0.25">
      <c r="A269" s="156">
        <f>Données!A269</f>
        <v>5889</v>
      </c>
      <c r="B269" s="157" t="str">
        <f>Données!B269</f>
        <v>La Tour-de-Peilz</v>
      </c>
      <c r="C269" s="304">
        <f>Données!C269</f>
        <v>13053</v>
      </c>
      <c r="D269" s="300">
        <f t="shared" si="67"/>
        <v>1000</v>
      </c>
      <c r="E269" s="300">
        <f t="shared" si="72"/>
        <v>2000</v>
      </c>
      <c r="F269" s="305">
        <f t="shared" si="75"/>
        <v>9000</v>
      </c>
      <c r="G269" s="299">
        <f t="shared" si="75"/>
        <v>1053</v>
      </c>
      <c r="H269" s="300">
        <f t="shared" si="75"/>
        <v>0</v>
      </c>
      <c r="I269" s="305">
        <f t="shared" si="75"/>
        <v>0</v>
      </c>
      <c r="J269" s="306">
        <f t="shared" si="68"/>
        <v>0</v>
      </c>
      <c r="K269" s="299"/>
      <c r="L269" s="300">
        <f t="shared" si="69"/>
        <v>-8022495.5489614252</v>
      </c>
      <c r="M269" s="305">
        <f t="shared" si="76"/>
        <v>7847579.9991169376</v>
      </c>
      <c r="N269" s="307">
        <f t="shared" si="70"/>
        <v>-174915.54984448757</v>
      </c>
      <c r="O269" s="299"/>
      <c r="P269" s="308">
        <f>Données!AC269</f>
        <v>2283117.6</v>
      </c>
      <c r="Q269" s="304">
        <f>Données!AD269</f>
        <v>-623833.63</v>
      </c>
      <c r="R269" s="299">
        <f t="shared" si="73"/>
        <v>1659283.9700000002</v>
      </c>
      <c r="S269" s="305">
        <f t="shared" si="74"/>
        <v>-995570.3820000001</v>
      </c>
      <c r="T269" s="299">
        <f t="shared" si="77"/>
        <v>1320398.8095452846</v>
      </c>
      <c r="U269" s="309">
        <f t="shared" si="71"/>
        <v>324828.4275452845</v>
      </c>
    </row>
    <row r="270" spans="1:21" x14ac:dyDescent="0.25">
      <c r="A270" s="156">
        <f>Données!A270</f>
        <v>5890</v>
      </c>
      <c r="B270" s="157" t="str">
        <f>Données!B270</f>
        <v>Vevey</v>
      </c>
      <c r="C270" s="304">
        <f>Données!C270</f>
        <v>20179</v>
      </c>
      <c r="D270" s="300">
        <f t="shared" si="67"/>
        <v>1000</v>
      </c>
      <c r="E270" s="300">
        <f t="shared" si="72"/>
        <v>2000</v>
      </c>
      <c r="F270" s="305">
        <f t="shared" si="75"/>
        <v>9000</v>
      </c>
      <c r="G270" s="299">
        <f t="shared" si="75"/>
        <v>3000</v>
      </c>
      <c r="H270" s="300">
        <f t="shared" si="75"/>
        <v>5179</v>
      </c>
      <c r="I270" s="305">
        <f t="shared" si="75"/>
        <v>0</v>
      </c>
      <c r="J270" s="306">
        <f t="shared" si="68"/>
        <v>0</v>
      </c>
      <c r="K270" s="299"/>
      <c r="L270" s="300">
        <f t="shared" si="69"/>
        <v>-15918767.507418398</v>
      </c>
      <c r="M270" s="305">
        <f t="shared" si="76"/>
        <v>12131794.744670242</v>
      </c>
      <c r="N270" s="307">
        <f t="shared" si="70"/>
        <v>-3786972.7627481557</v>
      </c>
      <c r="O270" s="299"/>
      <c r="P270" s="308">
        <f>Données!AC270</f>
        <v>3830868.09</v>
      </c>
      <c r="Q270" s="304">
        <f>Données!AD270</f>
        <v>-843739.68</v>
      </c>
      <c r="R270" s="299">
        <f t="shared" si="73"/>
        <v>2987128.4099999997</v>
      </c>
      <c r="S270" s="305">
        <f t="shared" si="74"/>
        <v>-1792277.0459999999</v>
      </c>
      <c r="T270" s="299">
        <f t="shared" si="77"/>
        <v>2041241.6745433463</v>
      </c>
      <c r="U270" s="309">
        <f t="shared" si="71"/>
        <v>248964.62854334642</v>
      </c>
    </row>
    <row r="271" spans="1:21" x14ac:dyDescent="0.25">
      <c r="A271" s="156">
        <f>Données!A271</f>
        <v>5891</v>
      </c>
      <c r="B271" s="157" t="str">
        <f>Données!B271</f>
        <v>Veytaux</v>
      </c>
      <c r="C271" s="304">
        <f>Données!C271</f>
        <v>1008</v>
      </c>
      <c r="D271" s="300">
        <f t="shared" si="67"/>
        <v>1000</v>
      </c>
      <c r="E271" s="300">
        <f t="shared" si="72"/>
        <v>8</v>
      </c>
      <c r="F271" s="305">
        <f t="shared" si="75"/>
        <v>0</v>
      </c>
      <c r="G271" s="299">
        <f t="shared" si="75"/>
        <v>0</v>
      </c>
      <c r="H271" s="300">
        <f t="shared" si="75"/>
        <v>0</v>
      </c>
      <c r="I271" s="305">
        <f t="shared" si="75"/>
        <v>0</v>
      </c>
      <c r="J271" s="306">
        <f t="shared" si="68"/>
        <v>0</v>
      </c>
      <c r="K271" s="299"/>
      <c r="L271" s="300">
        <f t="shared" si="69"/>
        <v>-136648.66468842729</v>
      </c>
      <c r="M271" s="305">
        <f t="shared" si="76"/>
        <v>606018.58876196074</v>
      </c>
      <c r="N271" s="307">
        <f t="shared" si="70"/>
        <v>469369.92407353345</v>
      </c>
      <c r="O271" s="299"/>
      <c r="P271" s="308">
        <f>Données!AC271</f>
        <v>357611</v>
      </c>
      <c r="Q271" s="304">
        <f>Données!AD271</f>
        <v>-139128.46</v>
      </c>
      <c r="R271" s="299">
        <f t="shared" si="73"/>
        <v>218482.54</v>
      </c>
      <c r="S271" s="305">
        <f t="shared" si="74"/>
        <v>-131089.524</v>
      </c>
      <c r="T271" s="299">
        <f t="shared" si="77"/>
        <v>101965.9848327317</v>
      </c>
      <c r="U271" s="309">
        <f t="shared" si="71"/>
        <v>-29123.539167268304</v>
      </c>
    </row>
    <row r="272" spans="1:21" x14ac:dyDescent="0.25">
      <c r="A272" s="156">
        <f>Données!A272</f>
        <v>5892</v>
      </c>
      <c r="B272" s="157" t="str">
        <f>Données!B272</f>
        <v>Blonay-Saint-Légier</v>
      </c>
      <c r="C272" s="304">
        <f>Données!C272</f>
        <v>12597</v>
      </c>
      <c r="D272" s="300">
        <f t="shared" si="67"/>
        <v>1000</v>
      </c>
      <c r="E272" s="300">
        <f t="shared" si="72"/>
        <v>2000</v>
      </c>
      <c r="F272" s="305">
        <f t="shared" si="75"/>
        <v>9000</v>
      </c>
      <c r="G272" s="299">
        <f t="shared" si="75"/>
        <v>597</v>
      </c>
      <c r="H272" s="300">
        <f t="shared" si="75"/>
        <v>0</v>
      </c>
      <c r="I272" s="305">
        <f t="shared" si="75"/>
        <v>0</v>
      </c>
      <c r="J272" s="306">
        <f t="shared" si="68"/>
        <v>0</v>
      </c>
      <c r="K272" s="299"/>
      <c r="L272" s="300">
        <f t="shared" si="69"/>
        <v>-7534922.8486646898</v>
      </c>
      <c r="M272" s="305">
        <f t="shared" si="76"/>
        <v>7573428.7327722404</v>
      </c>
      <c r="N272" s="307">
        <f t="shared" si="70"/>
        <v>38505.884107550606</v>
      </c>
      <c r="O272" s="299"/>
      <c r="P272" s="308">
        <f>Données!AC272</f>
        <v>1146326.79</v>
      </c>
      <c r="Q272" s="304">
        <f>Données!AD272</f>
        <v>-144633.79</v>
      </c>
      <c r="R272" s="299">
        <f t="shared" si="73"/>
        <v>1001693</v>
      </c>
      <c r="S272" s="305">
        <f t="shared" si="74"/>
        <v>-601015.79999999993</v>
      </c>
      <c r="T272" s="299">
        <f t="shared" si="77"/>
        <v>1274271.3402161917</v>
      </c>
      <c r="U272" s="309">
        <f t="shared" si="71"/>
        <v>673255.54021619179</v>
      </c>
    </row>
    <row r="273" spans="1:21" x14ac:dyDescent="0.25">
      <c r="A273" s="156">
        <f>Données!A273</f>
        <v>5902</v>
      </c>
      <c r="B273" s="157" t="str">
        <f>Données!B273</f>
        <v>Belmont-sur-Yverdon</v>
      </c>
      <c r="C273" s="304">
        <f>Données!C273</f>
        <v>457</v>
      </c>
      <c r="D273" s="300">
        <f t="shared" si="67"/>
        <v>457</v>
      </c>
      <c r="E273" s="300">
        <f t="shared" si="72"/>
        <v>0</v>
      </c>
      <c r="F273" s="305">
        <f t="shared" si="75"/>
        <v>0</v>
      </c>
      <c r="G273" s="299">
        <f t="shared" si="75"/>
        <v>0</v>
      </c>
      <c r="H273" s="300">
        <f t="shared" si="75"/>
        <v>0</v>
      </c>
      <c r="I273" s="305">
        <f t="shared" si="75"/>
        <v>0</v>
      </c>
      <c r="J273" s="306">
        <f t="shared" si="68"/>
        <v>0</v>
      </c>
      <c r="K273" s="299"/>
      <c r="L273" s="300">
        <f t="shared" si="69"/>
        <v>-61080.242334322451</v>
      </c>
      <c r="M273" s="305">
        <f t="shared" si="76"/>
        <v>274752.47526211909</v>
      </c>
      <c r="N273" s="307">
        <f t="shared" si="70"/>
        <v>213672.23292779663</v>
      </c>
      <c r="O273" s="299"/>
      <c r="P273" s="308" t="str">
        <f>Données!AC273</f>
        <v/>
      </c>
      <c r="Q273" s="304" t="str">
        <f>Données!AD273</f>
        <v/>
      </c>
      <c r="R273" s="299">
        <f t="shared" si="73"/>
        <v>0</v>
      </c>
      <c r="S273" s="305">
        <f t="shared" si="74"/>
        <v>0</v>
      </c>
      <c r="T273" s="299">
        <f t="shared" si="77"/>
        <v>46228.626060077768</v>
      </c>
      <c r="U273" s="309">
        <f t="shared" si="71"/>
        <v>46228.626060077768</v>
      </c>
    </row>
    <row r="274" spans="1:21" x14ac:dyDescent="0.25">
      <c r="A274" s="156">
        <f>Données!A274</f>
        <v>5903</v>
      </c>
      <c r="B274" s="157" t="str">
        <f>Données!B274</f>
        <v>Bioley-Magnoux</v>
      </c>
      <c r="C274" s="304">
        <f>Données!C274</f>
        <v>252</v>
      </c>
      <c r="D274" s="300">
        <f t="shared" si="67"/>
        <v>252</v>
      </c>
      <c r="E274" s="300">
        <f t="shared" si="72"/>
        <v>0</v>
      </c>
      <c r="F274" s="305">
        <f t="shared" ref="F274:I283" si="78">IF($C274&lt;F$4,0,IF($C274&gt;F$5,F$5-F$4,$C274-F$4))</f>
        <v>0</v>
      </c>
      <c r="G274" s="299">
        <f t="shared" si="78"/>
        <v>0</v>
      </c>
      <c r="H274" s="300">
        <f t="shared" si="78"/>
        <v>0</v>
      </c>
      <c r="I274" s="305">
        <f t="shared" si="78"/>
        <v>0</v>
      </c>
      <c r="J274" s="306">
        <f t="shared" si="68"/>
        <v>0</v>
      </c>
      <c r="K274" s="299"/>
      <c r="L274" s="300">
        <f t="shared" si="69"/>
        <v>-33681.008902077148</v>
      </c>
      <c r="M274" s="305">
        <f t="shared" si="76"/>
        <v>151504.64719049018</v>
      </c>
      <c r="N274" s="307">
        <f t="shared" si="70"/>
        <v>117823.63828841303</v>
      </c>
      <c r="O274" s="299"/>
      <c r="P274" s="308" t="str">
        <f>Données!AC274</f>
        <v/>
      </c>
      <c r="Q274" s="304" t="str">
        <f>Données!AD274</f>
        <v/>
      </c>
      <c r="R274" s="299">
        <f t="shared" si="73"/>
        <v>0</v>
      </c>
      <c r="S274" s="305">
        <f t="shared" si="74"/>
        <v>0</v>
      </c>
      <c r="T274" s="299">
        <f t="shared" si="77"/>
        <v>25491.496208182925</v>
      </c>
      <c r="U274" s="309">
        <f t="shared" si="71"/>
        <v>25491.496208182925</v>
      </c>
    </row>
    <row r="275" spans="1:21" x14ac:dyDescent="0.25">
      <c r="A275" s="156">
        <f>Données!A275</f>
        <v>5904</v>
      </c>
      <c r="B275" s="157" t="str">
        <f>Données!B275</f>
        <v>Chamblon</v>
      </c>
      <c r="C275" s="304">
        <f>Données!C275</f>
        <v>558</v>
      </c>
      <c r="D275" s="300">
        <f t="shared" si="67"/>
        <v>558</v>
      </c>
      <c r="E275" s="300">
        <f t="shared" si="72"/>
        <v>0</v>
      </c>
      <c r="F275" s="305">
        <f t="shared" si="78"/>
        <v>0</v>
      </c>
      <c r="G275" s="299">
        <f t="shared" si="78"/>
        <v>0</v>
      </c>
      <c r="H275" s="300">
        <f t="shared" si="78"/>
        <v>0</v>
      </c>
      <c r="I275" s="305">
        <f t="shared" si="78"/>
        <v>0</v>
      </c>
      <c r="J275" s="306">
        <f t="shared" si="68"/>
        <v>0</v>
      </c>
      <c r="K275" s="299"/>
      <c r="L275" s="300">
        <f t="shared" si="69"/>
        <v>-74579.37685459941</v>
      </c>
      <c r="M275" s="305">
        <f t="shared" si="76"/>
        <v>335474.57592179964</v>
      </c>
      <c r="N275" s="307">
        <f t="shared" si="70"/>
        <v>260895.19906720024</v>
      </c>
      <c r="O275" s="299"/>
      <c r="P275" s="308" t="str">
        <f>Données!AC275</f>
        <v/>
      </c>
      <c r="Q275" s="304" t="str">
        <f>Données!AD275</f>
        <v/>
      </c>
      <c r="R275" s="299">
        <f t="shared" si="73"/>
        <v>0</v>
      </c>
      <c r="S275" s="305">
        <f t="shared" si="74"/>
        <v>0</v>
      </c>
      <c r="T275" s="299">
        <f t="shared" si="77"/>
        <v>56445.455889547913</v>
      </c>
      <c r="U275" s="309">
        <f t="shared" si="71"/>
        <v>56445.455889547913</v>
      </c>
    </row>
    <row r="276" spans="1:21" x14ac:dyDescent="0.25">
      <c r="A276" s="156">
        <f>Données!A276</f>
        <v>5905</v>
      </c>
      <c r="B276" s="157" t="str">
        <f>Données!B276</f>
        <v>Champvent</v>
      </c>
      <c r="C276" s="304">
        <f>Données!C276</f>
        <v>692</v>
      </c>
      <c r="D276" s="300">
        <f t="shared" si="67"/>
        <v>692</v>
      </c>
      <c r="E276" s="300">
        <f t="shared" si="72"/>
        <v>0</v>
      </c>
      <c r="F276" s="305">
        <f t="shared" si="78"/>
        <v>0</v>
      </c>
      <c r="G276" s="299">
        <f t="shared" si="78"/>
        <v>0</v>
      </c>
      <c r="H276" s="300">
        <f t="shared" si="78"/>
        <v>0</v>
      </c>
      <c r="I276" s="305">
        <f t="shared" si="78"/>
        <v>0</v>
      </c>
      <c r="J276" s="306">
        <f t="shared" si="68"/>
        <v>0</v>
      </c>
      <c r="K276" s="299"/>
      <c r="L276" s="300">
        <f t="shared" si="69"/>
        <v>-92489.119683481695</v>
      </c>
      <c r="M276" s="305">
        <f t="shared" si="76"/>
        <v>416036.57085642539</v>
      </c>
      <c r="N276" s="307">
        <f t="shared" si="70"/>
        <v>323547.45117294369</v>
      </c>
      <c r="O276" s="299"/>
      <c r="P276" s="308" t="str">
        <f>Données!AC276</f>
        <v/>
      </c>
      <c r="Q276" s="304" t="str">
        <f>Données!AD276</f>
        <v/>
      </c>
      <c r="R276" s="299">
        <f t="shared" si="73"/>
        <v>0</v>
      </c>
      <c r="S276" s="305">
        <f t="shared" si="74"/>
        <v>0</v>
      </c>
      <c r="T276" s="299">
        <f t="shared" si="77"/>
        <v>70000.45784151819</v>
      </c>
      <c r="U276" s="309">
        <f t="shared" si="71"/>
        <v>70000.45784151819</v>
      </c>
    </row>
    <row r="277" spans="1:21" x14ac:dyDescent="0.25">
      <c r="A277" s="156">
        <f>Données!A277</f>
        <v>5907</v>
      </c>
      <c r="B277" s="157" t="str">
        <f>Données!B277</f>
        <v>Chavannes-le-Chêne</v>
      </c>
      <c r="C277" s="304">
        <f>Données!C277</f>
        <v>329</v>
      </c>
      <c r="D277" s="300">
        <f t="shared" si="67"/>
        <v>329</v>
      </c>
      <c r="E277" s="300">
        <f t="shared" si="72"/>
        <v>0</v>
      </c>
      <c r="F277" s="305">
        <f t="shared" si="78"/>
        <v>0</v>
      </c>
      <c r="G277" s="299">
        <f t="shared" si="78"/>
        <v>0</v>
      </c>
      <c r="H277" s="300">
        <f t="shared" si="78"/>
        <v>0</v>
      </c>
      <c r="I277" s="305">
        <f t="shared" si="78"/>
        <v>0</v>
      </c>
      <c r="J277" s="306">
        <f t="shared" si="68"/>
        <v>0</v>
      </c>
      <c r="K277" s="299"/>
      <c r="L277" s="300">
        <f t="shared" si="69"/>
        <v>-43972.428288822943</v>
      </c>
      <c r="M277" s="305">
        <f t="shared" si="76"/>
        <v>197797.73383202884</v>
      </c>
      <c r="N277" s="307">
        <f t="shared" si="70"/>
        <v>153825.3055432059</v>
      </c>
      <c r="O277" s="299"/>
      <c r="P277" s="308" t="str">
        <f>Données!AC277</f>
        <v/>
      </c>
      <c r="Q277" s="304" t="str">
        <f>Données!AD277</f>
        <v/>
      </c>
      <c r="R277" s="299">
        <f t="shared" si="73"/>
        <v>0</v>
      </c>
      <c r="S277" s="305">
        <f t="shared" si="74"/>
        <v>0</v>
      </c>
      <c r="T277" s="299">
        <f t="shared" si="77"/>
        <v>33280.564494016602</v>
      </c>
      <c r="U277" s="309">
        <f t="shared" si="71"/>
        <v>33280.564494016602</v>
      </c>
    </row>
    <row r="278" spans="1:21" x14ac:dyDescent="0.25">
      <c r="A278" s="156">
        <f>Données!A278</f>
        <v>5908</v>
      </c>
      <c r="B278" s="157" t="str">
        <f>Données!B278</f>
        <v>Chêne-Pâquier</v>
      </c>
      <c r="C278" s="304">
        <f>Données!C278</f>
        <v>172</v>
      </c>
      <c r="D278" s="300">
        <f t="shared" si="67"/>
        <v>172</v>
      </c>
      <c r="E278" s="300">
        <f t="shared" si="72"/>
        <v>0</v>
      </c>
      <c r="F278" s="305">
        <f t="shared" si="78"/>
        <v>0</v>
      </c>
      <c r="G278" s="299">
        <f t="shared" si="78"/>
        <v>0</v>
      </c>
      <c r="H278" s="300">
        <f t="shared" si="78"/>
        <v>0</v>
      </c>
      <c r="I278" s="305">
        <f t="shared" si="78"/>
        <v>0</v>
      </c>
      <c r="J278" s="306">
        <f t="shared" si="68"/>
        <v>0</v>
      </c>
      <c r="K278" s="299"/>
      <c r="L278" s="300">
        <f t="shared" si="69"/>
        <v>-22988.625123639958</v>
      </c>
      <c r="M278" s="305">
        <f t="shared" si="76"/>
        <v>103407.93379668376</v>
      </c>
      <c r="N278" s="307">
        <f t="shared" si="70"/>
        <v>80419.308673043808</v>
      </c>
      <c r="O278" s="299"/>
      <c r="P278" s="308" t="str">
        <f>Données!AC278</f>
        <v/>
      </c>
      <c r="Q278" s="304" t="str">
        <f>Données!AD278</f>
        <v/>
      </c>
      <c r="R278" s="299">
        <f t="shared" si="73"/>
        <v>0</v>
      </c>
      <c r="S278" s="305">
        <f t="shared" si="74"/>
        <v>0</v>
      </c>
      <c r="T278" s="299">
        <f t="shared" si="77"/>
        <v>17398.957729394697</v>
      </c>
      <c r="U278" s="309">
        <f t="shared" si="71"/>
        <v>17398.957729394697</v>
      </c>
    </row>
    <row r="279" spans="1:21" x14ac:dyDescent="0.25">
      <c r="A279" s="156">
        <f>Données!A279</f>
        <v>5909</v>
      </c>
      <c r="B279" s="157" t="str">
        <f>Données!B279</f>
        <v>Cheseaux-Noréaz</v>
      </c>
      <c r="C279" s="304">
        <f>Données!C279</f>
        <v>745</v>
      </c>
      <c r="D279" s="300">
        <f t="shared" si="67"/>
        <v>745</v>
      </c>
      <c r="E279" s="300">
        <f t="shared" si="72"/>
        <v>0</v>
      </c>
      <c r="F279" s="305">
        <f t="shared" si="78"/>
        <v>0</v>
      </c>
      <c r="G279" s="299">
        <f t="shared" si="78"/>
        <v>0</v>
      </c>
      <c r="H279" s="300">
        <f t="shared" si="78"/>
        <v>0</v>
      </c>
      <c r="I279" s="305">
        <f t="shared" si="78"/>
        <v>0</v>
      </c>
      <c r="J279" s="306">
        <f t="shared" si="68"/>
        <v>0</v>
      </c>
      <c r="K279" s="299"/>
      <c r="L279" s="300">
        <f t="shared" si="69"/>
        <v>-99572.823936696339</v>
      </c>
      <c r="M279" s="305">
        <f t="shared" si="76"/>
        <v>447900.64347982215</v>
      </c>
      <c r="N279" s="307">
        <f t="shared" si="70"/>
        <v>348327.81954312581</v>
      </c>
      <c r="O279" s="299"/>
      <c r="P279" s="308">
        <f>Données!AC279</f>
        <v>102704</v>
      </c>
      <c r="Q279" s="304">
        <f>Données!AD279</f>
        <v>0</v>
      </c>
      <c r="R279" s="299">
        <f t="shared" si="73"/>
        <v>102704</v>
      </c>
      <c r="S279" s="305">
        <f t="shared" si="74"/>
        <v>-61622.399999999994</v>
      </c>
      <c r="T279" s="299">
        <f t="shared" si="77"/>
        <v>75361.764583715398</v>
      </c>
      <c r="U279" s="309">
        <f t="shared" si="71"/>
        <v>13739.364583715404</v>
      </c>
    </row>
    <row r="280" spans="1:21" x14ac:dyDescent="0.25">
      <c r="A280" s="156">
        <f>Données!A280</f>
        <v>5910</v>
      </c>
      <c r="B280" s="157" t="str">
        <f>Données!B280</f>
        <v>Cronay</v>
      </c>
      <c r="C280" s="304">
        <f>Données!C280</f>
        <v>432</v>
      </c>
      <c r="D280" s="300">
        <f t="shared" si="67"/>
        <v>432</v>
      </c>
      <c r="E280" s="300">
        <f t="shared" si="72"/>
        <v>0</v>
      </c>
      <c r="F280" s="305">
        <f t="shared" si="78"/>
        <v>0</v>
      </c>
      <c r="G280" s="299">
        <f t="shared" si="78"/>
        <v>0</v>
      </c>
      <c r="H280" s="300">
        <f t="shared" si="78"/>
        <v>0</v>
      </c>
      <c r="I280" s="305">
        <f t="shared" si="78"/>
        <v>0</v>
      </c>
      <c r="J280" s="306">
        <f t="shared" si="68"/>
        <v>0</v>
      </c>
      <c r="K280" s="299"/>
      <c r="L280" s="300">
        <f t="shared" si="69"/>
        <v>-57738.872403560825</v>
      </c>
      <c r="M280" s="305">
        <f t="shared" si="76"/>
        <v>259722.25232655459</v>
      </c>
      <c r="N280" s="307">
        <f t="shared" si="70"/>
        <v>201983.37992299377</v>
      </c>
      <c r="O280" s="299"/>
      <c r="P280" s="308" t="str">
        <f>Données!AC280</f>
        <v/>
      </c>
      <c r="Q280" s="304" t="str">
        <f>Données!AD280</f>
        <v/>
      </c>
      <c r="R280" s="299">
        <f t="shared" si="73"/>
        <v>0</v>
      </c>
      <c r="S280" s="305">
        <f t="shared" si="74"/>
        <v>0</v>
      </c>
      <c r="T280" s="299">
        <f t="shared" si="77"/>
        <v>43699.707785456449</v>
      </c>
      <c r="U280" s="309">
        <f t="shared" si="71"/>
        <v>43699.707785456449</v>
      </c>
    </row>
    <row r="281" spans="1:21" x14ac:dyDescent="0.25">
      <c r="A281" s="156">
        <f>Données!A281</f>
        <v>5911</v>
      </c>
      <c r="B281" s="157" t="str">
        <f>Données!B281</f>
        <v>Cuarny</v>
      </c>
      <c r="C281" s="304">
        <f>Données!C281</f>
        <v>244</v>
      </c>
      <c r="D281" s="300">
        <f t="shared" si="67"/>
        <v>244</v>
      </c>
      <c r="E281" s="300">
        <f t="shared" si="72"/>
        <v>0</v>
      </c>
      <c r="F281" s="305">
        <f t="shared" si="78"/>
        <v>0</v>
      </c>
      <c r="G281" s="299">
        <f t="shared" si="78"/>
        <v>0</v>
      </c>
      <c r="H281" s="300">
        <f t="shared" si="78"/>
        <v>0</v>
      </c>
      <c r="I281" s="305">
        <f t="shared" si="78"/>
        <v>0</v>
      </c>
      <c r="J281" s="306">
        <f t="shared" si="68"/>
        <v>0</v>
      </c>
      <c r="K281" s="299"/>
      <c r="L281" s="300">
        <f t="shared" si="69"/>
        <v>-32611.77052423343</v>
      </c>
      <c r="M281" s="305">
        <f t="shared" si="76"/>
        <v>146694.97585110954</v>
      </c>
      <c r="N281" s="307">
        <f t="shared" si="70"/>
        <v>114083.20532687611</v>
      </c>
      <c r="O281" s="299"/>
      <c r="P281" s="308" t="str">
        <f>Données!AC281</f>
        <v/>
      </c>
      <c r="Q281" s="304" t="str">
        <f>Données!AD281</f>
        <v/>
      </c>
      <c r="R281" s="299">
        <f t="shared" si="73"/>
        <v>0</v>
      </c>
      <c r="S281" s="305">
        <f t="shared" si="74"/>
        <v>0</v>
      </c>
      <c r="T281" s="299">
        <f t="shared" si="77"/>
        <v>24682.242360304102</v>
      </c>
      <c r="U281" s="309">
        <f t="shared" si="71"/>
        <v>24682.242360304102</v>
      </c>
    </row>
    <row r="282" spans="1:21" x14ac:dyDescent="0.25">
      <c r="A282" s="156">
        <f>Données!A282</f>
        <v>5912</v>
      </c>
      <c r="B282" s="157" t="str">
        <f>Données!B282</f>
        <v>Démoret</v>
      </c>
      <c r="C282" s="304">
        <f>Données!C282</f>
        <v>181</v>
      </c>
      <c r="D282" s="300">
        <f t="shared" si="67"/>
        <v>181</v>
      </c>
      <c r="E282" s="300">
        <f t="shared" si="72"/>
        <v>0</v>
      </c>
      <c r="F282" s="305">
        <f t="shared" si="78"/>
        <v>0</v>
      </c>
      <c r="G282" s="299">
        <f t="shared" si="78"/>
        <v>0</v>
      </c>
      <c r="H282" s="300">
        <f t="shared" si="78"/>
        <v>0</v>
      </c>
      <c r="I282" s="305">
        <f t="shared" si="78"/>
        <v>0</v>
      </c>
      <c r="J282" s="306">
        <f t="shared" si="68"/>
        <v>0</v>
      </c>
      <c r="K282" s="299"/>
      <c r="L282" s="300">
        <f t="shared" si="69"/>
        <v>-24191.518298714142</v>
      </c>
      <c r="M282" s="305">
        <f t="shared" si="76"/>
        <v>108818.81405348699</v>
      </c>
      <c r="N282" s="307">
        <f t="shared" si="70"/>
        <v>84627.295754772844</v>
      </c>
      <c r="O282" s="299"/>
      <c r="P282" s="308" t="str">
        <f>Données!AC282</f>
        <v/>
      </c>
      <c r="Q282" s="304" t="str">
        <f>Données!AD282</f>
        <v/>
      </c>
      <c r="R282" s="299">
        <f t="shared" si="73"/>
        <v>0</v>
      </c>
      <c r="S282" s="305">
        <f t="shared" si="74"/>
        <v>0</v>
      </c>
      <c r="T282" s="299">
        <f t="shared" si="77"/>
        <v>18309.368308258374</v>
      </c>
      <c r="U282" s="309">
        <f t="shared" si="71"/>
        <v>18309.368308258374</v>
      </c>
    </row>
    <row r="283" spans="1:21" x14ac:dyDescent="0.25">
      <c r="A283" s="156">
        <f>Données!A283</f>
        <v>5913</v>
      </c>
      <c r="B283" s="157" t="str">
        <f>Données!B283</f>
        <v>Donneloye</v>
      </c>
      <c r="C283" s="304">
        <f>Données!C283</f>
        <v>905</v>
      </c>
      <c r="D283" s="300">
        <f t="shared" si="67"/>
        <v>905</v>
      </c>
      <c r="E283" s="300">
        <f t="shared" si="72"/>
        <v>0</v>
      </c>
      <c r="F283" s="305">
        <f t="shared" si="78"/>
        <v>0</v>
      </c>
      <c r="G283" s="299">
        <f t="shared" si="78"/>
        <v>0</v>
      </c>
      <c r="H283" s="300">
        <f t="shared" si="78"/>
        <v>0</v>
      </c>
      <c r="I283" s="305">
        <f t="shared" si="78"/>
        <v>0</v>
      </c>
      <c r="J283" s="306">
        <f t="shared" si="68"/>
        <v>0</v>
      </c>
      <c r="K283" s="299"/>
      <c r="L283" s="300">
        <f t="shared" si="69"/>
        <v>-120957.59149357071</v>
      </c>
      <c r="M283" s="305">
        <f t="shared" si="76"/>
        <v>544094.07026743493</v>
      </c>
      <c r="N283" s="307">
        <f t="shared" si="70"/>
        <v>423136.47877386422</v>
      </c>
      <c r="O283" s="299"/>
      <c r="P283" s="308" t="str">
        <f>Données!AC283</f>
        <v/>
      </c>
      <c r="Q283" s="304" t="str">
        <f>Données!AD283</f>
        <v/>
      </c>
      <c r="R283" s="299">
        <f t="shared" si="73"/>
        <v>0</v>
      </c>
      <c r="S283" s="305">
        <f t="shared" si="74"/>
        <v>0</v>
      </c>
      <c r="T283" s="299">
        <f t="shared" si="77"/>
        <v>91546.841541291855</v>
      </c>
      <c r="U283" s="309">
        <f t="shared" si="71"/>
        <v>91546.841541291855</v>
      </c>
    </row>
    <row r="284" spans="1:21" x14ac:dyDescent="0.25">
      <c r="A284" s="156">
        <f>Données!A284</f>
        <v>5914</v>
      </c>
      <c r="B284" s="157" t="str">
        <f>Données!B284</f>
        <v>Ependes</v>
      </c>
      <c r="C284" s="304">
        <f>Données!C284</f>
        <v>376</v>
      </c>
      <c r="D284" s="300">
        <f t="shared" si="67"/>
        <v>376</v>
      </c>
      <c r="E284" s="300">
        <f t="shared" si="72"/>
        <v>0</v>
      </c>
      <c r="F284" s="305">
        <f t="shared" ref="F284:I293" si="79">IF($C284&lt;F$4,0,IF($C284&gt;F$5,F$5-F$4,$C284-F$4))</f>
        <v>0</v>
      </c>
      <c r="G284" s="299">
        <f t="shared" si="79"/>
        <v>0</v>
      </c>
      <c r="H284" s="300">
        <f t="shared" si="79"/>
        <v>0</v>
      </c>
      <c r="I284" s="305">
        <f t="shared" si="79"/>
        <v>0</v>
      </c>
      <c r="J284" s="306">
        <f t="shared" si="68"/>
        <v>0</v>
      </c>
      <c r="K284" s="299"/>
      <c r="L284" s="300">
        <f t="shared" si="69"/>
        <v>-50254.203758654796</v>
      </c>
      <c r="M284" s="305">
        <f t="shared" si="76"/>
        <v>226054.55295089009</v>
      </c>
      <c r="N284" s="307">
        <f t="shared" si="70"/>
        <v>175800.3491922353</v>
      </c>
      <c r="O284" s="299"/>
      <c r="P284" s="308" t="str">
        <f>Données!AC284</f>
        <v/>
      </c>
      <c r="Q284" s="304" t="str">
        <f>Données!AD284</f>
        <v/>
      </c>
      <c r="R284" s="299">
        <f t="shared" si="73"/>
        <v>0</v>
      </c>
      <c r="S284" s="305">
        <f t="shared" si="74"/>
        <v>0</v>
      </c>
      <c r="T284" s="299">
        <f t="shared" si="77"/>
        <v>38034.930850304685</v>
      </c>
      <c r="U284" s="309">
        <f t="shared" si="71"/>
        <v>38034.930850304685</v>
      </c>
    </row>
    <row r="285" spans="1:21" x14ac:dyDescent="0.25">
      <c r="A285" s="156">
        <f>Données!A285</f>
        <v>5941</v>
      </c>
      <c r="B285" s="157" t="str">
        <f>Données!B285</f>
        <v>Mathod-Suscévaz</v>
      </c>
      <c r="C285" s="304">
        <f>Données!C285</f>
        <v>1003</v>
      </c>
      <c r="D285" s="300">
        <f t="shared" si="67"/>
        <v>1000</v>
      </c>
      <c r="E285" s="300">
        <f t="shared" si="72"/>
        <v>3</v>
      </c>
      <c r="F285" s="305">
        <f t="shared" si="79"/>
        <v>0</v>
      </c>
      <c r="G285" s="299">
        <f t="shared" si="79"/>
        <v>0</v>
      </c>
      <c r="H285" s="300">
        <f t="shared" si="79"/>
        <v>0</v>
      </c>
      <c r="I285" s="305">
        <f t="shared" si="79"/>
        <v>0</v>
      </c>
      <c r="J285" s="306">
        <f t="shared" si="68"/>
        <v>0</v>
      </c>
      <c r="K285" s="299"/>
      <c r="L285" s="300">
        <f t="shared" si="69"/>
        <v>-134777.49752720079</v>
      </c>
      <c r="M285" s="305">
        <f t="shared" si="76"/>
        <v>603012.54417484778</v>
      </c>
      <c r="N285" s="307">
        <f t="shared" si="70"/>
        <v>468235.04664764699</v>
      </c>
      <c r="O285" s="299"/>
      <c r="P285" s="308" t="str">
        <f>Données!AC285</f>
        <v/>
      </c>
      <c r="Q285" s="304" t="str">
        <f>Données!AD285</f>
        <v/>
      </c>
      <c r="R285" s="299">
        <f t="shared" si="73"/>
        <v>0</v>
      </c>
      <c r="S285" s="305">
        <f t="shared" si="74"/>
        <v>0</v>
      </c>
      <c r="T285" s="299">
        <f t="shared" si="77"/>
        <v>101460.20117780744</v>
      </c>
      <c r="U285" s="309">
        <f t="shared" si="71"/>
        <v>101460.20117780744</v>
      </c>
    </row>
    <row r="286" spans="1:21" x14ac:dyDescent="0.25">
      <c r="A286" s="156">
        <f>Données!A286</f>
        <v>5921</v>
      </c>
      <c r="B286" s="157" t="str">
        <f>Données!B286</f>
        <v>Molondin</v>
      </c>
      <c r="C286" s="304">
        <f>Données!C286</f>
        <v>260</v>
      </c>
      <c r="D286" s="300">
        <f t="shared" si="67"/>
        <v>260</v>
      </c>
      <c r="E286" s="300">
        <f t="shared" si="72"/>
        <v>0</v>
      </c>
      <c r="F286" s="305">
        <f t="shared" si="79"/>
        <v>0</v>
      </c>
      <c r="G286" s="299">
        <f t="shared" si="79"/>
        <v>0</v>
      </c>
      <c r="H286" s="300">
        <f t="shared" si="79"/>
        <v>0</v>
      </c>
      <c r="I286" s="305">
        <f t="shared" si="79"/>
        <v>0</v>
      </c>
      <c r="J286" s="306">
        <f t="shared" si="68"/>
        <v>0</v>
      </c>
      <c r="K286" s="299"/>
      <c r="L286" s="300">
        <f t="shared" si="69"/>
        <v>-34750.24727992087</v>
      </c>
      <c r="M286" s="305">
        <f t="shared" si="76"/>
        <v>156314.3185298708</v>
      </c>
      <c r="N286" s="307">
        <f t="shared" si="70"/>
        <v>121564.07124994992</v>
      </c>
      <c r="O286" s="299"/>
      <c r="P286" s="308" t="str">
        <f>Données!AC286</f>
        <v/>
      </c>
      <c r="Q286" s="304" t="str">
        <f>Données!AD286</f>
        <v/>
      </c>
      <c r="R286" s="299">
        <f t="shared" si="73"/>
        <v>0</v>
      </c>
      <c r="S286" s="305">
        <f t="shared" si="74"/>
        <v>0</v>
      </c>
      <c r="T286" s="299">
        <f t="shared" si="77"/>
        <v>26300.750056061752</v>
      </c>
      <c r="U286" s="309">
        <f t="shared" si="71"/>
        <v>26300.750056061752</v>
      </c>
    </row>
    <row r="287" spans="1:21" x14ac:dyDescent="0.25">
      <c r="A287" s="156">
        <f>Données!A287</f>
        <v>5922</v>
      </c>
      <c r="B287" s="157" t="str">
        <f>Données!B287</f>
        <v>Montagny-près-Yverdon</v>
      </c>
      <c r="C287" s="304">
        <f>Données!C287</f>
        <v>768</v>
      </c>
      <c r="D287" s="300">
        <f t="shared" si="67"/>
        <v>768</v>
      </c>
      <c r="E287" s="300">
        <f t="shared" si="72"/>
        <v>0</v>
      </c>
      <c r="F287" s="305">
        <f t="shared" si="79"/>
        <v>0</v>
      </c>
      <c r="G287" s="299">
        <f t="shared" si="79"/>
        <v>0</v>
      </c>
      <c r="H287" s="300">
        <f t="shared" si="79"/>
        <v>0</v>
      </c>
      <c r="I287" s="305">
        <f t="shared" si="79"/>
        <v>0</v>
      </c>
      <c r="J287" s="306">
        <f t="shared" si="68"/>
        <v>0</v>
      </c>
      <c r="K287" s="299"/>
      <c r="L287" s="300">
        <f t="shared" si="69"/>
        <v>-102646.88427299703</v>
      </c>
      <c r="M287" s="305">
        <f t="shared" si="76"/>
        <v>461728.44858054147</v>
      </c>
      <c r="N287" s="307">
        <f t="shared" si="70"/>
        <v>359081.56430754444</v>
      </c>
      <c r="O287" s="299"/>
      <c r="P287" s="308">
        <f>Données!AC287</f>
        <v>296541</v>
      </c>
      <c r="Q287" s="304">
        <f>Données!AD287</f>
        <v>0</v>
      </c>
      <c r="R287" s="299">
        <f t="shared" si="73"/>
        <v>296541</v>
      </c>
      <c r="S287" s="305">
        <f t="shared" si="74"/>
        <v>-177924.6</v>
      </c>
      <c r="T287" s="299">
        <f t="shared" si="77"/>
        <v>77688.369396367023</v>
      </c>
      <c r="U287" s="309">
        <f t="shared" si="71"/>
        <v>-100236.23060363298</v>
      </c>
    </row>
    <row r="288" spans="1:21" x14ac:dyDescent="0.25">
      <c r="A288" s="156">
        <f>Données!A288</f>
        <v>5923</v>
      </c>
      <c r="B288" s="157" t="str">
        <f>Données!B288</f>
        <v>Oppens</v>
      </c>
      <c r="C288" s="304">
        <f>Données!C288</f>
        <v>201</v>
      </c>
      <c r="D288" s="300">
        <f t="shared" si="67"/>
        <v>201</v>
      </c>
      <c r="E288" s="300">
        <f t="shared" si="72"/>
        <v>0</v>
      </c>
      <c r="F288" s="305">
        <f t="shared" si="79"/>
        <v>0</v>
      </c>
      <c r="G288" s="299">
        <f t="shared" si="79"/>
        <v>0</v>
      </c>
      <c r="H288" s="300">
        <f t="shared" si="79"/>
        <v>0</v>
      </c>
      <c r="I288" s="305">
        <f t="shared" si="79"/>
        <v>0</v>
      </c>
      <c r="J288" s="306">
        <f t="shared" si="68"/>
        <v>0</v>
      </c>
      <c r="K288" s="299"/>
      <c r="L288" s="300">
        <f t="shared" si="69"/>
        <v>-26864.614243323442</v>
      </c>
      <c r="M288" s="305">
        <f t="shared" si="76"/>
        <v>120842.99240193859</v>
      </c>
      <c r="N288" s="307">
        <f t="shared" si="70"/>
        <v>93978.378158615145</v>
      </c>
      <c r="O288" s="299"/>
      <c r="P288" s="308" t="str">
        <f>Données!AC288</f>
        <v/>
      </c>
      <c r="Q288" s="304" t="str">
        <f>Données!AD288</f>
        <v/>
      </c>
      <c r="R288" s="299">
        <f t="shared" si="73"/>
        <v>0</v>
      </c>
      <c r="S288" s="305">
        <f t="shared" si="74"/>
        <v>0</v>
      </c>
      <c r="T288" s="299">
        <f t="shared" si="77"/>
        <v>20332.502927955429</v>
      </c>
      <c r="U288" s="309">
        <f t="shared" si="71"/>
        <v>20332.502927955429</v>
      </c>
    </row>
    <row r="289" spans="1:21" x14ac:dyDescent="0.25">
      <c r="A289" s="156">
        <f>Données!A289</f>
        <v>5924</v>
      </c>
      <c r="B289" s="157" t="str">
        <f>Données!B289</f>
        <v>Orges</v>
      </c>
      <c r="C289" s="304">
        <f>Données!C289</f>
        <v>416</v>
      </c>
      <c r="D289" s="300">
        <f t="shared" si="67"/>
        <v>416</v>
      </c>
      <c r="E289" s="300">
        <f t="shared" si="72"/>
        <v>0</v>
      </c>
      <c r="F289" s="305">
        <f t="shared" si="79"/>
        <v>0</v>
      </c>
      <c r="G289" s="299">
        <f t="shared" si="79"/>
        <v>0</v>
      </c>
      <c r="H289" s="300">
        <f t="shared" si="79"/>
        <v>0</v>
      </c>
      <c r="I289" s="305">
        <f t="shared" si="79"/>
        <v>0</v>
      </c>
      <c r="J289" s="306">
        <f t="shared" si="68"/>
        <v>0</v>
      </c>
      <c r="K289" s="299"/>
      <c r="L289" s="300">
        <f t="shared" si="69"/>
        <v>-55600.395647873389</v>
      </c>
      <c r="M289" s="305">
        <f t="shared" si="76"/>
        <v>250102.90964779331</v>
      </c>
      <c r="N289" s="307">
        <f t="shared" si="70"/>
        <v>194502.51399991993</v>
      </c>
      <c r="O289" s="299"/>
      <c r="P289" s="308" t="str">
        <f>Données!AC289</f>
        <v/>
      </c>
      <c r="Q289" s="304" t="str">
        <f>Données!AD289</f>
        <v/>
      </c>
      <c r="R289" s="299">
        <f t="shared" si="73"/>
        <v>0</v>
      </c>
      <c r="S289" s="305">
        <f t="shared" si="74"/>
        <v>0</v>
      </c>
      <c r="T289" s="299">
        <f t="shared" si="77"/>
        <v>42081.200089698803</v>
      </c>
      <c r="U289" s="309">
        <f t="shared" si="71"/>
        <v>42081.200089698803</v>
      </c>
    </row>
    <row r="290" spans="1:21" x14ac:dyDescent="0.25">
      <c r="A290" s="156">
        <f>Données!A290</f>
        <v>5925</v>
      </c>
      <c r="B290" s="157" t="str">
        <f>Données!B290</f>
        <v>Orzens</v>
      </c>
      <c r="C290" s="304">
        <f>Données!C290</f>
        <v>216</v>
      </c>
      <c r="D290" s="300">
        <f t="shared" si="67"/>
        <v>216</v>
      </c>
      <c r="E290" s="300">
        <f t="shared" si="72"/>
        <v>0</v>
      </c>
      <c r="F290" s="305">
        <f t="shared" si="79"/>
        <v>0</v>
      </c>
      <c r="G290" s="299">
        <f t="shared" si="79"/>
        <v>0</v>
      </c>
      <c r="H290" s="300">
        <f t="shared" si="79"/>
        <v>0</v>
      </c>
      <c r="I290" s="305">
        <f t="shared" si="79"/>
        <v>0</v>
      </c>
      <c r="J290" s="306">
        <f t="shared" si="68"/>
        <v>0</v>
      </c>
      <c r="K290" s="299"/>
      <c r="L290" s="300">
        <f t="shared" si="69"/>
        <v>-28869.436201780412</v>
      </c>
      <c r="M290" s="305">
        <f t="shared" si="76"/>
        <v>129861.12616327729</v>
      </c>
      <c r="N290" s="307">
        <f t="shared" si="70"/>
        <v>100991.68996149689</v>
      </c>
      <c r="O290" s="299"/>
      <c r="P290" s="308" t="str">
        <f>Données!AC290</f>
        <v/>
      </c>
      <c r="Q290" s="304" t="str">
        <f>Données!AD290</f>
        <v/>
      </c>
      <c r="R290" s="299">
        <f t="shared" si="73"/>
        <v>0</v>
      </c>
      <c r="S290" s="305">
        <f t="shared" si="74"/>
        <v>0</v>
      </c>
      <c r="T290" s="299">
        <f t="shared" si="77"/>
        <v>21849.853892728224</v>
      </c>
      <c r="U290" s="309">
        <f t="shared" si="71"/>
        <v>21849.853892728224</v>
      </c>
    </row>
    <row r="291" spans="1:21" x14ac:dyDescent="0.25">
      <c r="A291" s="156">
        <f>Données!A291</f>
        <v>5926</v>
      </c>
      <c r="B291" s="157" t="str">
        <f>Données!B291</f>
        <v>Pomy</v>
      </c>
      <c r="C291" s="304">
        <f>Données!C291</f>
        <v>904</v>
      </c>
      <c r="D291" s="300">
        <f t="shared" si="67"/>
        <v>904</v>
      </c>
      <c r="E291" s="300">
        <f t="shared" si="72"/>
        <v>0</v>
      </c>
      <c r="F291" s="305">
        <f t="shared" si="79"/>
        <v>0</v>
      </c>
      <c r="G291" s="299">
        <f t="shared" si="79"/>
        <v>0</v>
      </c>
      <c r="H291" s="300">
        <f t="shared" si="79"/>
        <v>0</v>
      </c>
      <c r="I291" s="305">
        <f t="shared" si="79"/>
        <v>0</v>
      </c>
      <c r="J291" s="306">
        <f t="shared" si="68"/>
        <v>0</v>
      </c>
      <c r="K291" s="299"/>
      <c r="L291" s="300">
        <f t="shared" si="69"/>
        <v>-120823.93669634026</v>
      </c>
      <c r="M291" s="305">
        <f t="shared" si="76"/>
        <v>543492.86135001236</v>
      </c>
      <c r="N291" s="307">
        <f t="shared" si="70"/>
        <v>422668.92465367209</v>
      </c>
      <c r="O291" s="299"/>
      <c r="P291" s="308" t="str">
        <f>Données!AC291</f>
        <v/>
      </c>
      <c r="Q291" s="304" t="str">
        <f>Données!AD291</f>
        <v/>
      </c>
      <c r="R291" s="299">
        <f t="shared" si="73"/>
        <v>0</v>
      </c>
      <c r="S291" s="305">
        <f t="shared" si="74"/>
        <v>0</v>
      </c>
      <c r="T291" s="299">
        <f t="shared" si="77"/>
        <v>91445.684810307008</v>
      </c>
      <c r="U291" s="309">
        <f t="shared" si="71"/>
        <v>91445.684810307008</v>
      </c>
    </row>
    <row r="292" spans="1:21" x14ac:dyDescent="0.25">
      <c r="A292" s="156">
        <f>Données!A292</f>
        <v>5928</v>
      </c>
      <c r="B292" s="157" t="str">
        <f>Données!B292</f>
        <v>Rovray</v>
      </c>
      <c r="C292" s="304">
        <f>Données!C292</f>
        <v>198</v>
      </c>
      <c r="D292" s="300">
        <f t="shared" si="67"/>
        <v>198</v>
      </c>
      <c r="E292" s="300">
        <f t="shared" si="72"/>
        <v>0</v>
      </c>
      <c r="F292" s="305">
        <f t="shared" si="79"/>
        <v>0</v>
      </c>
      <c r="G292" s="299">
        <f t="shared" si="79"/>
        <v>0</v>
      </c>
      <c r="H292" s="300">
        <f t="shared" si="79"/>
        <v>0</v>
      </c>
      <c r="I292" s="305">
        <f t="shared" si="79"/>
        <v>0</v>
      </c>
      <c r="J292" s="306">
        <f t="shared" si="68"/>
        <v>0</v>
      </c>
      <c r="K292" s="299"/>
      <c r="L292" s="300">
        <f t="shared" si="69"/>
        <v>-26463.649851632046</v>
      </c>
      <c r="M292" s="305">
        <f t="shared" si="76"/>
        <v>119039.36564967084</v>
      </c>
      <c r="N292" s="307">
        <f t="shared" si="70"/>
        <v>92575.7157980388</v>
      </c>
      <c r="O292" s="299"/>
      <c r="P292" s="308" t="str">
        <f>Données!AC292</f>
        <v/>
      </c>
      <c r="Q292" s="304" t="str">
        <f>Données!AD292</f>
        <v/>
      </c>
      <c r="R292" s="299">
        <f t="shared" si="73"/>
        <v>0</v>
      </c>
      <c r="S292" s="305">
        <f t="shared" si="74"/>
        <v>0</v>
      </c>
      <c r="T292" s="299">
        <f t="shared" si="77"/>
        <v>20029.03273500087</v>
      </c>
      <c r="U292" s="309">
        <f t="shared" si="71"/>
        <v>20029.03273500087</v>
      </c>
    </row>
    <row r="293" spans="1:21" x14ac:dyDescent="0.25">
      <c r="A293" s="156">
        <f>Données!A293</f>
        <v>5929</v>
      </c>
      <c r="B293" s="157" t="str">
        <f>Données!B293</f>
        <v>Suchy</v>
      </c>
      <c r="C293" s="304">
        <f>Données!C293</f>
        <v>672</v>
      </c>
      <c r="D293" s="300">
        <f t="shared" si="67"/>
        <v>672</v>
      </c>
      <c r="E293" s="300">
        <f t="shared" si="72"/>
        <v>0</v>
      </c>
      <c r="F293" s="305">
        <f t="shared" si="79"/>
        <v>0</v>
      </c>
      <c r="G293" s="299">
        <f t="shared" si="79"/>
        <v>0</v>
      </c>
      <c r="H293" s="300">
        <f t="shared" si="79"/>
        <v>0</v>
      </c>
      <c r="I293" s="305">
        <f t="shared" si="79"/>
        <v>0</v>
      </c>
      <c r="J293" s="306">
        <f t="shared" si="68"/>
        <v>0</v>
      </c>
      <c r="K293" s="299"/>
      <c r="L293" s="300">
        <f t="shared" si="69"/>
        <v>-89816.023738872405</v>
      </c>
      <c r="M293" s="305">
        <f t="shared" si="76"/>
        <v>404012.39250797377</v>
      </c>
      <c r="N293" s="307">
        <f t="shared" si="70"/>
        <v>314196.36876910133</v>
      </c>
      <c r="O293" s="299"/>
      <c r="P293" s="308" t="str">
        <f>Données!AC293</f>
        <v/>
      </c>
      <c r="Q293" s="304" t="str">
        <f>Données!AD293</f>
        <v/>
      </c>
      <c r="R293" s="299">
        <f t="shared" si="73"/>
        <v>0</v>
      </c>
      <c r="S293" s="305">
        <f t="shared" si="74"/>
        <v>0</v>
      </c>
      <c r="T293" s="299">
        <f t="shared" si="77"/>
        <v>67977.323221821134</v>
      </c>
      <c r="U293" s="309">
        <f t="shared" si="71"/>
        <v>67977.323221821134</v>
      </c>
    </row>
    <row r="294" spans="1:21" x14ac:dyDescent="0.25">
      <c r="A294" s="156">
        <f>Données!A294</f>
        <v>5931</v>
      </c>
      <c r="B294" s="157" t="str">
        <f>Données!B294</f>
        <v>Treycovagnes</v>
      </c>
      <c r="C294" s="304">
        <f>Données!C294</f>
        <v>518</v>
      </c>
      <c r="D294" s="300">
        <f t="shared" si="67"/>
        <v>518</v>
      </c>
      <c r="E294" s="300">
        <f t="shared" si="72"/>
        <v>0</v>
      </c>
      <c r="F294" s="305">
        <f t="shared" ref="F294:I301" si="80">IF($C294&lt;F$4,0,IF($C294&gt;F$5,F$5-F$4,$C294-F$4))</f>
        <v>0</v>
      </c>
      <c r="G294" s="299">
        <f t="shared" si="80"/>
        <v>0</v>
      </c>
      <c r="H294" s="300">
        <f t="shared" si="80"/>
        <v>0</v>
      </c>
      <c r="I294" s="305">
        <f t="shared" si="80"/>
        <v>0</v>
      </c>
      <c r="J294" s="306">
        <f t="shared" si="68"/>
        <v>0</v>
      </c>
      <c r="K294" s="299"/>
      <c r="L294" s="300">
        <f t="shared" si="69"/>
        <v>-69233.184965380802</v>
      </c>
      <c r="M294" s="305">
        <f t="shared" si="76"/>
        <v>311426.21922489646</v>
      </c>
      <c r="N294" s="307">
        <f t="shared" si="70"/>
        <v>242193.03425951564</v>
      </c>
      <c r="O294" s="299"/>
      <c r="P294" s="308" t="str">
        <f>Données!AC294</f>
        <v/>
      </c>
      <c r="Q294" s="304" t="str">
        <f>Données!AD294</f>
        <v/>
      </c>
      <c r="R294" s="299">
        <f t="shared" si="73"/>
        <v>0</v>
      </c>
      <c r="S294" s="305">
        <f t="shared" si="74"/>
        <v>0</v>
      </c>
      <c r="T294" s="299">
        <f t="shared" si="77"/>
        <v>52399.186650153795</v>
      </c>
      <c r="U294" s="309">
        <f t="shared" si="71"/>
        <v>52399.186650153795</v>
      </c>
    </row>
    <row r="295" spans="1:21" x14ac:dyDescent="0.25">
      <c r="A295" s="156">
        <f>Données!A295</f>
        <v>5932</v>
      </c>
      <c r="B295" s="157" t="str">
        <f>Données!B295</f>
        <v>Ursins</v>
      </c>
      <c r="C295" s="304">
        <f>Données!C295</f>
        <v>227</v>
      </c>
      <c r="D295" s="300">
        <f t="shared" si="67"/>
        <v>227</v>
      </c>
      <c r="E295" s="300">
        <f t="shared" si="72"/>
        <v>0</v>
      </c>
      <c r="F295" s="305">
        <f t="shared" si="80"/>
        <v>0</v>
      </c>
      <c r="G295" s="299">
        <f t="shared" si="80"/>
        <v>0</v>
      </c>
      <c r="H295" s="300">
        <f t="shared" si="80"/>
        <v>0</v>
      </c>
      <c r="I295" s="305">
        <f t="shared" si="80"/>
        <v>0</v>
      </c>
      <c r="J295" s="306">
        <f t="shared" si="68"/>
        <v>0</v>
      </c>
      <c r="K295" s="299"/>
      <c r="L295" s="300">
        <f t="shared" si="69"/>
        <v>-30339.638971315526</v>
      </c>
      <c r="M295" s="305">
        <f t="shared" si="76"/>
        <v>136474.42425492566</v>
      </c>
      <c r="N295" s="307">
        <f t="shared" si="70"/>
        <v>106134.78528361014</v>
      </c>
      <c r="O295" s="299"/>
      <c r="P295" s="308" t="str">
        <f>Données!AC295</f>
        <v/>
      </c>
      <c r="Q295" s="304" t="str">
        <f>Données!AD295</f>
        <v/>
      </c>
      <c r="R295" s="299">
        <f t="shared" si="73"/>
        <v>0</v>
      </c>
      <c r="S295" s="305">
        <f t="shared" si="74"/>
        <v>0</v>
      </c>
      <c r="T295" s="299">
        <f t="shared" si="77"/>
        <v>22962.577933561606</v>
      </c>
      <c r="U295" s="309">
        <f t="shared" si="71"/>
        <v>22962.577933561606</v>
      </c>
    </row>
    <row r="296" spans="1:21" x14ac:dyDescent="0.25">
      <c r="A296" s="156">
        <f>Données!A296</f>
        <v>5933</v>
      </c>
      <c r="B296" s="157" t="str">
        <f>Données!B296</f>
        <v>Valeyres-sous-Montagny</v>
      </c>
      <c r="C296" s="304">
        <f>Données!C296</f>
        <v>717</v>
      </c>
      <c r="D296" s="300">
        <f t="shared" si="67"/>
        <v>717</v>
      </c>
      <c r="E296" s="300">
        <f t="shared" si="72"/>
        <v>0</v>
      </c>
      <c r="F296" s="305">
        <f t="shared" si="80"/>
        <v>0</v>
      </c>
      <c r="G296" s="299">
        <f t="shared" si="80"/>
        <v>0</v>
      </c>
      <c r="H296" s="300">
        <f t="shared" si="80"/>
        <v>0</v>
      </c>
      <c r="I296" s="305">
        <f t="shared" si="80"/>
        <v>0</v>
      </c>
      <c r="J296" s="306">
        <f t="shared" si="68"/>
        <v>0</v>
      </c>
      <c r="K296" s="299"/>
      <c r="L296" s="300">
        <f t="shared" si="69"/>
        <v>-95830.489614243314</v>
      </c>
      <c r="M296" s="305">
        <f t="shared" si="76"/>
        <v>431066.79379198991</v>
      </c>
      <c r="N296" s="307">
        <f t="shared" si="70"/>
        <v>335236.30417774658</v>
      </c>
      <c r="O296" s="299"/>
      <c r="P296" s="308" t="str">
        <f>Données!AC296</f>
        <v/>
      </c>
      <c r="Q296" s="304" t="str">
        <f>Données!AD296</f>
        <v/>
      </c>
      <c r="R296" s="299">
        <f t="shared" si="73"/>
        <v>0</v>
      </c>
      <c r="S296" s="305">
        <f t="shared" si="74"/>
        <v>0</v>
      </c>
      <c r="T296" s="299">
        <f t="shared" si="77"/>
        <v>72529.376116139523</v>
      </c>
      <c r="U296" s="309">
        <f t="shared" si="71"/>
        <v>72529.376116139523</v>
      </c>
    </row>
    <row r="297" spans="1:21" x14ac:dyDescent="0.25">
      <c r="A297" s="156">
        <f>Données!A297</f>
        <v>5934</v>
      </c>
      <c r="B297" s="157" t="str">
        <f>Données!B297</f>
        <v>Valeyres-sous-Ursins</v>
      </c>
      <c r="C297" s="304">
        <f>Données!C297</f>
        <v>225</v>
      </c>
      <c r="D297" s="300">
        <f t="shared" si="67"/>
        <v>225</v>
      </c>
      <c r="E297" s="300">
        <f t="shared" si="72"/>
        <v>0</v>
      </c>
      <c r="F297" s="305">
        <f t="shared" si="80"/>
        <v>0</v>
      </c>
      <c r="G297" s="299">
        <f t="shared" si="80"/>
        <v>0</v>
      </c>
      <c r="H297" s="300">
        <f t="shared" si="80"/>
        <v>0</v>
      </c>
      <c r="I297" s="305">
        <f t="shared" si="80"/>
        <v>0</v>
      </c>
      <c r="J297" s="306">
        <f t="shared" si="68"/>
        <v>0</v>
      </c>
      <c r="K297" s="299"/>
      <c r="L297" s="300">
        <f t="shared" si="69"/>
        <v>-30072.329376854599</v>
      </c>
      <c r="M297" s="305">
        <f t="shared" si="76"/>
        <v>135272.00642008052</v>
      </c>
      <c r="N297" s="307">
        <f t="shared" si="70"/>
        <v>105199.67704322592</v>
      </c>
      <c r="O297" s="299"/>
      <c r="P297" s="308" t="str">
        <f>Données!AC297</f>
        <v/>
      </c>
      <c r="Q297" s="304" t="str">
        <f>Données!AD297</f>
        <v/>
      </c>
      <c r="R297" s="299">
        <f t="shared" si="73"/>
        <v>0</v>
      </c>
      <c r="S297" s="305">
        <f t="shared" si="74"/>
        <v>0</v>
      </c>
      <c r="T297" s="299">
        <f t="shared" si="77"/>
        <v>22760.264471591898</v>
      </c>
      <c r="U297" s="309">
        <f t="shared" si="71"/>
        <v>22760.264471591898</v>
      </c>
    </row>
    <row r="298" spans="1:21" x14ac:dyDescent="0.25">
      <c r="A298" s="156">
        <f>Données!A298</f>
        <v>5935</v>
      </c>
      <c r="B298" s="157" t="str">
        <f>Données!B298</f>
        <v>Villars-Epeney</v>
      </c>
      <c r="C298" s="304">
        <f>Données!C298</f>
        <v>109</v>
      </c>
      <c r="D298" s="300">
        <f t="shared" si="67"/>
        <v>109</v>
      </c>
      <c r="E298" s="300">
        <f t="shared" si="72"/>
        <v>0</v>
      </c>
      <c r="F298" s="305">
        <f t="shared" si="80"/>
        <v>0</v>
      </c>
      <c r="G298" s="299">
        <f t="shared" si="80"/>
        <v>0</v>
      </c>
      <c r="H298" s="300">
        <f t="shared" si="80"/>
        <v>0</v>
      </c>
      <c r="I298" s="305">
        <f t="shared" si="80"/>
        <v>0</v>
      </c>
      <c r="J298" s="306">
        <f t="shared" si="68"/>
        <v>0</v>
      </c>
      <c r="K298" s="299"/>
      <c r="L298" s="300">
        <f t="shared" si="69"/>
        <v>-14568.372898120671</v>
      </c>
      <c r="M298" s="305">
        <f t="shared" si="76"/>
        <v>65531.771999061224</v>
      </c>
      <c r="N298" s="307">
        <f t="shared" si="70"/>
        <v>50963.399100940551</v>
      </c>
      <c r="O298" s="299"/>
      <c r="P298" s="308" t="str">
        <f>Données!AC298</f>
        <v/>
      </c>
      <c r="Q298" s="304" t="str">
        <f>Données!AD298</f>
        <v/>
      </c>
      <c r="R298" s="299">
        <f t="shared" si="73"/>
        <v>0</v>
      </c>
      <c r="S298" s="305">
        <f t="shared" si="74"/>
        <v>0</v>
      </c>
      <c r="T298" s="299">
        <f t="shared" si="77"/>
        <v>11026.083677348965</v>
      </c>
      <c r="U298" s="309">
        <f t="shared" si="71"/>
        <v>11026.083677348965</v>
      </c>
    </row>
    <row r="299" spans="1:21" x14ac:dyDescent="0.25">
      <c r="A299" s="156">
        <f>Données!A299</f>
        <v>5937</v>
      </c>
      <c r="B299" s="157" t="str">
        <f>Données!B299</f>
        <v>Vugelles-La Mothe</v>
      </c>
      <c r="C299" s="304">
        <f>Données!C299</f>
        <v>142</v>
      </c>
      <c r="D299" s="300">
        <f t="shared" si="67"/>
        <v>142</v>
      </c>
      <c r="E299" s="300">
        <f t="shared" si="72"/>
        <v>0</v>
      </c>
      <c r="F299" s="305">
        <f t="shared" si="80"/>
        <v>0</v>
      </c>
      <c r="G299" s="299">
        <f t="shared" si="80"/>
        <v>0</v>
      </c>
      <c r="H299" s="300">
        <f t="shared" si="80"/>
        <v>0</v>
      </c>
      <c r="I299" s="305">
        <f t="shared" si="80"/>
        <v>0</v>
      </c>
      <c r="J299" s="306">
        <f t="shared" si="68"/>
        <v>0</v>
      </c>
      <c r="K299" s="299"/>
      <c r="L299" s="300">
        <f t="shared" si="69"/>
        <v>-18978.981206726014</v>
      </c>
      <c r="M299" s="305">
        <f t="shared" si="76"/>
        <v>85371.666274006362</v>
      </c>
      <c r="N299" s="307">
        <f t="shared" si="70"/>
        <v>66392.685067280341</v>
      </c>
      <c r="O299" s="299"/>
      <c r="P299" s="308" t="str">
        <f>Données!AC299</f>
        <v/>
      </c>
      <c r="Q299" s="304" t="str">
        <f>Données!AD299</f>
        <v/>
      </c>
      <c r="R299" s="299">
        <f t="shared" si="73"/>
        <v>0</v>
      </c>
      <c r="S299" s="305">
        <f t="shared" si="74"/>
        <v>0</v>
      </c>
      <c r="T299" s="299">
        <f t="shared" si="77"/>
        <v>14364.25579984911</v>
      </c>
      <c r="U299" s="309">
        <f t="shared" si="71"/>
        <v>14364.25579984911</v>
      </c>
    </row>
    <row r="300" spans="1:21" x14ac:dyDescent="0.25">
      <c r="A300" s="156">
        <f>Données!A300</f>
        <v>5938</v>
      </c>
      <c r="B300" s="157" t="str">
        <f>Données!B300</f>
        <v>Yverdon-les-Bains</v>
      </c>
      <c r="C300" s="304">
        <f>Données!C300</f>
        <v>30600</v>
      </c>
      <c r="D300" s="300">
        <f t="shared" si="67"/>
        <v>1000</v>
      </c>
      <c r="E300" s="300">
        <f t="shared" si="72"/>
        <v>2000</v>
      </c>
      <c r="F300" s="305">
        <f t="shared" si="80"/>
        <v>9000</v>
      </c>
      <c r="G300" s="299">
        <f t="shared" si="80"/>
        <v>3000</v>
      </c>
      <c r="H300" s="300">
        <f t="shared" si="80"/>
        <v>15000</v>
      </c>
      <c r="I300" s="305">
        <f t="shared" si="80"/>
        <v>600</v>
      </c>
      <c r="J300" s="306">
        <f t="shared" si="68"/>
        <v>0</v>
      </c>
      <c r="K300" s="299"/>
      <c r="L300" s="300">
        <f t="shared" si="69"/>
        <v>-27650504.451038577</v>
      </c>
      <c r="M300" s="305">
        <f t="shared" si="76"/>
        <v>18396992.873130951</v>
      </c>
      <c r="N300" s="307">
        <f>SUM(L300:M300)</f>
        <v>-9253511.5779076256</v>
      </c>
      <c r="O300" s="299"/>
      <c r="P300" s="308">
        <f>Données!AC300</f>
        <v>6444929</v>
      </c>
      <c r="Q300" s="304">
        <f>Données!AD300</f>
        <v>0</v>
      </c>
      <c r="R300" s="299">
        <f t="shared" si="73"/>
        <v>6444929</v>
      </c>
      <c r="S300" s="305">
        <f t="shared" si="74"/>
        <v>-3866957.4</v>
      </c>
      <c r="T300" s="299">
        <f t="shared" si="77"/>
        <v>3095395.9681364982</v>
      </c>
      <c r="U300" s="309">
        <f t="shared" si="71"/>
        <v>-771561.43186350167</v>
      </c>
    </row>
    <row r="301" spans="1:21" x14ac:dyDescent="0.25">
      <c r="A301" s="158">
        <f>Données!A301</f>
        <v>5939</v>
      </c>
      <c r="B301" s="159" t="str">
        <f>Données!B301</f>
        <v>Yvonand</v>
      </c>
      <c r="C301" s="310">
        <f>Données!C301</f>
        <v>3536</v>
      </c>
      <c r="D301" s="311">
        <f t="shared" si="67"/>
        <v>1000</v>
      </c>
      <c r="E301" s="311">
        <f t="shared" si="72"/>
        <v>2000</v>
      </c>
      <c r="F301" s="312">
        <f t="shared" si="80"/>
        <v>536</v>
      </c>
      <c r="G301" s="313">
        <f t="shared" si="80"/>
        <v>0</v>
      </c>
      <c r="H301" s="311">
        <f t="shared" si="80"/>
        <v>0</v>
      </c>
      <c r="I301" s="312">
        <f t="shared" si="80"/>
        <v>0</v>
      </c>
      <c r="J301" s="314">
        <f t="shared" si="68"/>
        <v>0</v>
      </c>
      <c r="K301" s="299"/>
      <c r="L301" s="300">
        <f t="shared" si="69"/>
        <v>-1240316.5182987142</v>
      </c>
      <c r="M301" s="312">
        <f t="shared" si="76"/>
        <v>2125874.732006243</v>
      </c>
      <c r="N301" s="315">
        <f t="shared" si="70"/>
        <v>885558.21370752878</v>
      </c>
      <c r="O301" s="299"/>
      <c r="P301" s="316" t="str">
        <f>Données!AC301</f>
        <v/>
      </c>
      <c r="Q301" s="310" t="str">
        <f>Données!AD301</f>
        <v/>
      </c>
      <c r="R301" s="313">
        <f t="shared" si="73"/>
        <v>0</v>
      </c>
      <c r="S301" s="312">
        <f t="shared" si="74"/>
        <v>0</v>
      </c>
      <c r="T301" s="313">
        <f t="shared" si="77"/>
        <v>357690.20076243981</v>
      </c>
      <c r="U301" s="317">
        <f t="shared" si="71"/>
        <v>357690.20076243981</v>
      </c>
    </row>
    <row r="302" spans="1:21" x14ac:dyDescent="0.25">
      <c r="A302" s="6"/>
      <c r="C302" s="311">
        <f t="shared" ref="C302:J302" si="81">SUM(C8:C301)</f>
        <v>864226</v>
      </c>
      <c r="D302" s="311">
        <f t="shared" si="81"/>
        <v>214195</v>
      </c>
      <c r="E302" s="311">
        <f t="shared" si="81"/>
        <v>177295</v>
      </c>
      <c r="F302" s="311">
        <f t="shared" si="81"/>
        <v>255488</v>
      </c>
      <c r="G302" s="311">
        <f t="shared" si="81"/>
        <v>30674</v>
      </c>
      <c r="H302" s="311">
        <f t="shared" si="81"/>
        <v>70267</v>
      </c>
      <c r="I302" s="311">
        <f t="shared" si="81"/>
        <v>15600</v>
      </c>
      <c r="J302" s="312">
        <f t="shared" si="81"/>
        <v>100707</v>
      </c>
      <c r="K302" s="299"/>
      <c r="L302" s="318">
        <f>SUM(L8:L301)</f>
        <v>-519580377.86844665</v>
      </c>
      <c r="M302" s="312">
        <f>SUM(M8:M301)</f>
        <v>519580377.86844718</v>
      </c>
      <c r="N302" s="317">
        <f>SUM(N8:N301)</f>
        <v>-4.3050386011600494E-7</v>
      </c>
      <c r="O302" s="319"/>
      <c r="P302" s="312">
        <f>SUM(P8:P301)</f>
        <v>166909162.92999998</v>
      </c>
      <c r="Q302" s="312">
        <f t="shared" ref="Q302:R302" si="82">SUM(Q8:Q301)</f>
        <v>-21205367.943140864</v>
      </c>
      <c r="R302" s="312">
        <f t="shared" si="82"/>
        <v>145703794.98685911</v>
      </c>
      <c r="S302" s="312">
        <f>SUM(S8:S301)</f>
        <v>-87422276.992115468</v>
      </c>
      <c r="T302" s="312">
        <f>SUM(T8:T301)</f>
        <v>87422276.992115557</v>
      </c>
      <c r="U302" s="320">
        <f t="shared" si="71"/>
        <v>0</v>
      </c>
    </row>
  </sheetData>
  <sheetProtection sheet="1" objects="1" scenarios="1"/>
  <sortState xmlns:xlrd2="http://schemas.microsoft.com/office/spreadsheetml/2017/richdata2" ref="P8:P301">
    <sortCondition ref="P8:P301"/>
  </sortState>
  <mergeCells count="8">
    <mergeCell ref="D7:J7"/>
    <mergeCell ref="C3:J3"/>
    <mergeCell ref="L3:N4"/>
    <mergeCell ref="P3:U4"/>
    <mergeCell ref="L5:M5"/>
    <mergeCell ref="P5:Q5"/>
    <mergeCell ref="P6:Q6"/>
    <mergeCell ref="R5:T5"/>
  </mergeCells>
  <conditionalFormatting sqref="N6">
    <cfRule type="cellIs" dxfId="41" priority="5" operator="equal">
      <formula>"ERREUR"</formula>
    </cfRule>
    <cfRule type="cellIs" dxfId="40" priority="6" operator="equal">
      <formula>"OK"</formula>
    </cfRule>
  </conditionalFormatting>
  <conditionalFormatting sqref="U6">
    <cfRule type="cellIs" dxfId="39" priority="3" operator="equal">
      <formula>"ERREUR"</formula>
    </cfRule>
    <cfRule type="cellIs" dxfId="38" priority="4" operator="equal">
      <formula>"OK"</formula>
    </cfRule>
  </conditionalFormatting>
  <hyperlinks>
    <hyperlink ref="H1" location="'Table des matières'!A1" display="Table des matières" xr:uid="{68B5EB3E-C032-4ABE-9994-8076DBD715A8}"/>
    <hyperlink ref="I1" location="PCS!A1" display="Suivant →" xr:uid="{CD279857-CF2A-4EF3-ABB8-C973D0F1B0A9}"/>
    <hyperlink ref="G1" location="'Besoins structurels'!A1" display="← Précédent" xr:uid="{4D11845C-D6AC-4956-AB1F-CCEBFA188C93}"/>
  </hyperlinks>
  <pageMargins left="0.25" right="0.25" top="0.75" bottom="0.75"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CAC78-F23B-409E-A18A-1E462CBD6E81}">
  <sheetPr codeName="Feuil5">
    <tabColor rgb="FFFFE6FF"/>
    <pageSetUpPr autoPageBreaks="0"/>
  </sheetPr>
  <dimension ref="A1:H302"/>
  <sheetViews>
    <sheetView zoomScale="90" zoomScaleNormal="90" workbookViewId="0">
      <pane ySplit="7" topLeftCell="A8" activePane="bottomLeft" state="frozen"/>
      <selection pane="bottomLeft"/>
    </sheetView>
  </sheetViews>
  <sheetFormatPr baseColWidth="10" defaultRowHeight="15" x14ac:dyDescent="0.25"/>
  <cols>
    <col min="1" max="1" width="7.140625" style="1" customWidth="1"/>
    <col min="2" max="2" width="26.140625" style="1" customWidth="1"/>
    <col min="3" max="3" width="13.85546875" style="1" customWidth="1"/>
    <col min="4" max="4" width="17.140625" style="1" customWidth="1"/>
    <col min="5" max="6" width="14.28515625" style="1" customWidth="1"/>
    <col min="7" max="16384" width="11.42578125" style="1"/>
  </cols>
  <sheetData>
    <row r="1" spans="1:8" ht="26.25" x14ac:dyDescent="0.25">
      <c r="A1" s="8" t="s">
        <v>34</v>
      </c>
      <c r="E1" s="95" t="s">
        <v>441</v>
      </c>
      <c r="F1" s="97" t="s">
        <v>442</v>
      </c>
      <c r="G1" s="98" t="s">
        <v>443</v>
      </c>
      <c r="H1" s="77"/>
    </row>
    <row r="2" spans="1:8" ht="15" customHeight="1" x14ac:dyDescent="0.25">
      <c r="A2" s="48" t="str">
        <f>_xlfn.CONCAT(Paramètres!M5," ",Paramètres!N5)</f>
        <v>Décompte prévisionnel 2027</v>
      </c>
    </row>
    <row r="3" spans="1:8" ht="15" customHeight="1" x14ac:dyDescent="0.25">
      <c r="F3" s="70"/>
    </row>
    <row r="4" spans="1:8" ht="15" customHeight="1" x14ac:dyDescent="0.25">
      <c r="A4" s="576" t="s">
        <v>496</v>
      </c>
      <c r="B4" s="577"/>
      <c r="C4" s="578"/>
      <c r="D4" s="582">
        <f>Paramètres!K6</f>
        <v>861540400</v>
      </c>
    </row>
    <row r="5" spans="1:8" ht="15" customHeight="1" x14ac:dyDescent="0.25">
      <c r="A5" s="579"/>
      <c r="B5" s="580"/>
      <c r="C5" s="581"/>
      <c r="D5" s="583"/>
    </row>
    <row r="6" spans="1:8" ht="15" customHeight="1" x14ac:dyDescent="0.25"/>
    <row r="7" spans="1:8" ht="37.5" customHeight="1" x14ac:dyDescent="0.25">
      <c r="A7" s="144" t="s">
        <v>0</v>
      </c>
      <c r="B7" s="144" t="s">
        <v>1</v>
      </c>
      <c r="C7" s="72" t="s">
        <v>29</v>
      </c>
      <c r="D7" s="209" t="s">
        <v>14</v>
      </c>
    </row>
    <row r="8" spans="1:8" ht="15" customHeight="1" x14ac:dyDescent="0.25">
      <c r="A8" s="107">
        <f>Données!A8</f>
        <v>5401</v>
      </c>
      <c r="B8" s="115" t="str">
        <f>Données!B8</f>
        <v>Aigle</v>
      </c>
      <c r="C8" s="321">
        <f>Données!C8</f>
        <v>12081</v>
      </c>
      <c r="D8" s="322">
        <f t="shared" ref="D8:D71" si="0">$D$4/$C$302*C8</f>
        <v>12043458.045002118</v>
      </c>
    </row>
    <row r="9" spans="1:8" ht="15" customHeight="1" x14ac:dyDescent="0.25">
      <c r="A9" s="108">
        <f>Données!A9</f>
        <v>5402</v>
      </c>
      <c r="B9" s="116" t="str">
        <f>Données!B9</f>
        <v>Bex</v>
      </c>
      <c r="C9" s="323">
        <f>Données!C9</f>
        <v>8923</v>
      </c>
      <c r="D9" s="324">
        <f t="shared" si="0"/>
        <v>8895271.5946986079</v>
      </c>
    </row>
    <row r="10" spans="1:8" x14ac:dyDescent="0.25">
      <c r="A10" s="108">
        <f>Données!A10</f>
        <v>5403</v>
      </c>
      <c r="B10" s="116" t="str">
        <f>Données!B10</f>
        <v>Chessel</v>
      </c>
      <c r="C10" s="323">
        <f>Données!C10</f>
        <v>525</v>
      </c>
      <c r="D10" s="324">
        <f t="shared" si="0"/>
        <v>523368.55174456676</v>
      </c>
    </row>
    <row r="11" spans="1:8" x14ac:dyDescent="0.25">
      <c r="A11" s="108">
        <f>Données!A11</f>
        <v>5404</v>
      </c>
      <c r="B11" s="116" t="str">
        <f>Données!B11</f>
        <v>Corbeyrier</v>
      </c>
      <c r="C11" s="323">
        <f>Données!C11</f>
        <v>456</v>
      </c>
      <c r="D11" s="324">
        <f t="shared" si="0"/>
        <v>454582.97065813799</v>
      </c>
    </row>
    <row r="12" spans="1:8" x14ac:dyDescent="0.25">
      <c r="A12" s="108">
        <f>Données!A12</f>
        <v>5405</v>
      </c>
      <c r="B12" s="116" t="str">
        <f>Données!B12</f>
        <v>Gryon</v>
      </c>
      <c r="C12" s="323">
        <f>Données!C12</f>
        <v>1546</v>
      </c>
      <c r="D12" s="324">
        <f t="shared" si="0"/>
        <v>1541195.77332781</v>
      </c>
    </row>
    <row r="13" spans="1:8" x14ac:dyDescent="0.25">
      <c r="A13" s="108">
        <f>Données!A13</f>
        <v>5406</v>
      </c>
      <c r="B13" s="116" t="str">
        <f>Données!B13</f>
        <v>Lavey-Morcles</v>
      </c>
      <c r="C13" s="323">
        <f>Données!C13</f>
        <v>1024</v>
      </c>
      <c r="D13" s="324">
        <f t="shared" si="0"/>
        <v>1020817.8990217836</v>
      </c>
    </row>
    <row r="14" spans="1:8" ht="15" customHeight="1" x14ac:dyDescent="0.25">
      <c r="A14" s="108">
        <f>Données!A14</f>
        <v>5407</v>
      </c>
      <c r="B14" s="116" t="str">
        <f>Données!B14</f>
        <v>Leysin</v>
      </c>
      <c r="C14" s="323">
        <f>Données!C14</f>
        <v>3722</v>
      </c>
      <c r="D14" s="324">
        <f t="shared" si="0"/>
        <v>3710433.8087491002</v>
      </c>
    </row>
    <row r="15" spans="1:8" ht="15" customHeight="1" x14ac:dyDescent="0.25">
      <c r="A15" s="108">
        <f>Données!A15</f>
        <v>5408</v>
      </c>
      <c r="B15" s="116" t="str">
        <f>Données!B15</f>
        <v>Noville</v>
      </c>
      <c r="C15" s="323">
        <f>Données!C15</f>
        <v>1214</v>
      </c>
      <c r="D15" s="324">
        <f t="shared" si="0"/>
        <v>1210227.4701293411</v>
      </c>
    </row>
    <row r="16" spans="1:8" x14ac:dyDescent="0.25">
      <c r="A16" s="108">
        <f>Données!A16</f>
        <v>5409</v>
      </c>
      <c r="B16" s="116" t="str">
        <f>Données!B16</f>
        <v>Ollon</v>
      </c>
      <c r="C16" s="323">
        <f>Données!C16</f>
        <v>8302</v>
      </c>
      <c r="D16" s="324">
        <f t="shared" si="0"/>
        <v>8276201.3649207493</v>
      </c>
    </row>
    <row r="17" spans="1:4" x14ac:dyDescent="0.25">
      <c r="A17" s="108">
        <f>Données!A17</f>
        <v>5410</v>
      </c>
      <c r="B17" s="116" t="str">
        <f>Données!B17</f>
        <v>Ormont-Dessous</v>
      </c>
      <c r="C17" s="323">
        <f>Données!C17</f>
        <v>1261</v>
      </c>
      <c r="D17" s="324">
        <f t="shared" si="0"/>
        <v>1257081.4166664737</v>
      </c>
    </row>
    <row r="18" spans="1:4" x14ac:dyDescent="0.25">
      <c r="A18" s="108">
        <f>Données!A18</f>
        <v>5411</v>
      </c>
      <c r="B18" s="116" t="str">
        <f>Données!B18</f>
        <v>Ormont-Dessus</v>
      </c>
      <c r="C18" s="323">
        <f>Données!C18</f>
        <v>1440</v>
      </c>
      <c r="D18" s="324">
        <f t="shared" si="0"/>
        <v>1435525.1704993832</v>
      </c>
    </row>
    <row r="19" spans="1:4" x14ac:dyDescent="0.25">
      <c r="A19" s="108">
        <f>Données!A19</f>
        <v>5412</v>
      </c>
      <c r="B19" s="116" t="str">
        <f>Données!B19</f>
        <v>Rennaz</v>
      </c>
      <c r="C19" s="323">
        <f>Données!C19</f>
        <v>935</v>
      </c>
      <c r="D19" s="324">
        <f t="shared" si="0"/>
        <v>932094.46834508562</v>
      </c>
    </row>
    <row r="20" spans="1:4" ht="15" customHeight="1" x14ac:dyDescent="0.25">
      <c r="A20" s="108">
        <f>Données!A20</f>
        <v>5413</v>
      </c>
      <c r="B20" s="116" t="str">
        <f>Données!B20</f>
        <v>Roche</v>
      </c>
      <c r="C20" s="323">
        <f>Données!C20</f>
        <v>2035</v>
      </c>
      <c r="D20" s="324">
        <f t="shared" si="0"/>
        <v>2028676.1958098921</v>
      </c>
    </row>
    <row r="21" spans="1:4" ht="15" customHeight="1" x14ac:dyDescent="0.25">
      <c r="A21" s="108">
        <f>Données!A21</f>
        <v>5414</v>
      </c>
      <c r="B21" s="116" t="str">
        <f>Données!B21</f>
        <v>Villeneuve</v>
      </c>
      <c r="C21" s="323">
        <f>Données!C21</f>
        <v>6073</v>
      </c>
      <c r="D21" s="324">
        <f t="shared" si="0"/>
        <v>6054128.0280852458</v>
      </c>
    </row>
    <row r="22" spans="1:4" x14ac:dyDescent="0.25">
      <c r="A22" s="108">
        <f>Données!A22</f>
        <v>5415</v>
      </c>
      <c r="B22" s="116" t="str">
        <f>Données!B22</f>
        <v>Yvorne</v>
      </c>
      <c r="C22" s="323">
        <f>Données!C22</f>
        <v>1119</v>
      </c>
      <c r="D22" s="324">
        <f t="shared" si="0"/>
        <v>1115522.6845755624</v>
      </c>
    </row>
    <row r="23" spans="1:4" x14ac:dyDescent="0.25">
      <c r="A23" s="108">
        <f>Données!A23</f>
        <v>5422</v>
      </c>
      <c r="B23" s="116" t="str">
        <f>Données!B23</f>
        <v>Aubonne</v>
      </c>
      <c r="C23" s="323">
        <f>Données!C23</f>
        <v>3896</v>
      </c>
      <c r="D23" s="324">
        <f t="shared" si="0"/>
        <v>3883893.1001844425</v>
      </c>
    </row>
    <row r="24" spans="1:4" ht="15" customHeight="1" x14ac:dyDescent="0.25">
      <c r="A24" s="108">
        <f>Données!A24</f>
        <v>5423</v>
      </c>
      <c r="B24" s="116" t="str">
        <f>Données!B24</f>
        <v>Ballens</v>
      </c>
      <c r="C24" s="323">
        <f>Données!C24</f>
        <v>580</v>
      </c>
      <c r="D24" s="324">
        <f t="shared" si="0"/>
        <v>578197.6381178071</v>
      </c>
    </row>
    <row r="25" spans="1:4" x14ac:dyDescent="0.25">
      <c r="A25" s="108">
        <f>Données!A25</f>
        <v>5424</v>
      </c>
      <c r="B25" s="116" t="str">
        <f>Données!B25</f>
        <v>Berolle</v>
      </c>
      <c r="C25" s="323">
        <f>Données!C25</f>
        <v>300</v>
      </c>
      <c r="D25" s="324">
        <f t="shared" si="0"/>
        <v>299067.74385403818</v>
      </c>
    </row>
    <row r="26" spans="1:4" x14ac:dyDescent="0.25">
      <c r="A26" s="108">
        <f>Données!A26</f>
        <v>5425</v>
      </c>
      <c r="B26" s="116" t="str">
        <f>Données!B26</f>
        <v>Bière</v>
      </c>
      <c r="C26" s="323">
        <f>Données!C26</f>
        <v>1701</v>
      </c>
      <c r="D26" s="324">
        <f t="shared" si="0"/>
        <v>1695714.1076523964</v>
      </c>
    </row>
    <row r="27" spans="1:4" x14ac:dyDescent="0.25">
      <c r="A27" s="108">
        <f>Données!A27</f>
        <v>5426</v>
      </c>
      <c r="B27" s="116" t="str">
        <f>Données!B27</f>
        <v>Bougy-Villars</v>
      </c>
      <c r="C27" s="323">
        <f>Données!C27</f>
        <v>493</v>
      </c>
      <c r="D27" s="324">
        <f t="shared" si="0"/>
        <v>491467.99240013608</v>
      </c>
    </row>
    <row r="28" spans="1:4" ht="15" customHeight="1" x14ac:dyDescent="0.25">
      <c r="A28" s="108">
        <f>Données!A28</f>
        <v>5427</v>
      </c>
      <c r="B28" s="116" t="str">
        <f>Données!B28</f>
        <v>Féchy</v>
      </c>
      <c r="C28" s="323">
        <f>Données!C28</f>
        <v>906</v>
      </c>
      <c r="D28" s="324">
        <f t="shared" si="0"/>
        <v>903184.58643919532</v>
      </c>
    </row>
    <row r="29" spans="1:4" x14ac:dyDescent="0.25">
      <c r="A29" s="108">
        <f>Données!A29</f>
        <v>5428</v>
      </c>
      <c r="B29" s="116" t="str">
        <f>Données!B29</f>
        <v>Gimel</v>
      </c>
      <c r="C29" s="323">
        <f>Données!C29</f>
        <v>3343</v>
      </c>
      <c r="D29" s="324">
        <f t="shared" si="0"/>
        <v>3332611.5590134985</v>
      </c>
    </row>
    <row r="30" spans="1:4" x14ac:dyDescent="0.25">
      <c r="A30" s="108">
        <f>Données!A30</f>
        <v>5429</v>
      </c>
      <c r="B30" s="116" t="str">
        <f>Données!B30</f>
        <v>Longirod</v>
      </c>
      <c r="C30" s="323">
        <f>Données!C30</f>
        <v>558</v>
      </c>
      <c r="D30" s="324">
        <f t="shared" si="0"/>
        <v>556266.00356851099</v>
      </c>
    </row>
    <row r="31" spans="1:4" x14ac:dyDescent="0.25">
      <c r="A31" s="108">
        <f>Données!A31</f>
        <v>5430</v>
      </c>
      <c r="B31" s="116" t="str">
        <f>Données!B31</f>
        <v>Marchissy</v>
      </c>
      <c r="C31" s="323">
        <f>Données!C31</f>
        <v>492</v>
      </c>
      <c r="D31" s="324">
        <f t="shared" si="0"/>
        <v>490471.0999206226</v>
      </c>
    </row>
    <row r="32" spans="1:4" x14ac:dyDescent="0.25">
      <c r="A32" s="108">
        <f>Données!A32</f>
        <v>5431</v>
      </c>
      <c r="B32" s="116" t="str">
        <f>Données!B32</f>
        <v>Mollens</v>
      </c>
      <c r="C32" s="323">
        <f>Données!C32</f>
        <v>320</v>
      </c>
      <c r="D32" s="324">
        <f t="shared" si="0"/>
        <v>319005.59344430739</v>
      </c>
    </row>
    <row r="33" spans="1:4" x14ac:dyDescent="0.25">
      <c r="A33" s="108">
        <f>Données!A33</f>
        <v>5434</v>
      </c>
      <c r="B33" s="116" t="str">
        <f>Données!B33</f>
        <v>Saint-George</v>
      </c>
      <c r="C33" s="323">
        <f>Données!C33</f>
        <v>1082</v>
      </c>
      <c r="D33" s="324">
        <f t="shared" si="0"/>
        <v>1078637.6628335642</v>
      </c>
    </row>
    <row r="34" spans="1:4" x14ac:dyDescent="0.25">
      <c r="A34" s="108">
        <f>Données!A34</f>
        <v>5435</v>
      </c>
      <c r="B34" s="116" t="str">
        <f>Données!B34</f>
        <v>Saint-Livres</v>
      </c>
      <c r="C34" s="323">
        <f>Données!C34</f>
        <v>708</v>
      </c>
      <c r="D34" s="324">
        <f t="shared" si="0"/>
        <v>705799.87549553008</v>
      </c>
    </row>
    <row r="35" spans="1:4" x14ac:dyDescent="0.25">
      <c r="A35" s="108">
        <f>Données!A35</f>
        <v>5451</v>
      </c>
      <c r="B35" s="116" t="str">
        <f>Données!B35</f>
        <v>Avenches</v>
      </c>
      <c r="C35" s="323">
        <f>Données!C35</f>
        <v>4953</v>
      </c>
      <c r="D35" s="324">
        <f t="shared" si="0"/>
        <v>4937608.4510301705</v>
      </c>
    </row>
    <row r="36" spans="1:4" x14ac:dyDescent="0.25">
      <c r="A36" s="108">
        <f>Données!A36</f>
        <v>5456</v>
      </c>
      <c r="B36" s="116" t="str">
        <f>Données!B36</f>
        <v>Cudrefin</v>
      </c>
      <c r="C36" s="323">
        <f>Données!C36</f>
        <v>1915</v>
      </c>
      <c r="D36" s="324">
        <f t="shared" si="0"/>
        <v>1909049.098268277</v>
      </c>
    </row>
    <row r="37" spans="1:4" x14ac:dyDescent="0.25">
      <c r="A37" s="108">
        <f>Données!A37</f>
        <v>5458</v>
      </c>
      <c r="B37" s="116" t="str">
        <f>Données!B37</f>
        <v>Faoug</v>
      </c>
      <c r="C37" s="323">
        <f>Données!C37</f>
        <v>902</v>
      </c>
      <c r="D37" s="324">
        <f t="shared" si="0"/>
        <v>899197.0165211414</v>
      </c>
    </row>
    <row r="38" spans="1:4" x14ac:dyDescent="0.25">
      <c r="A38" s="108">
        <f>Données!A38</f>
        <v>5464</v>
      </c>
      <c r="B38" s="116" t="str">
        <f>Données!B38</f>
        <v>Vully-les-Lacs</v>
      </c>
      <c r="C38" s="323">
        <f>Données!C38</f>
        <v>3698</v>
      </c>
      <c r="D38" s="324">
        <f t="shared" si="0"/>
        <v>3686508.3892407771</v>
      </c>
    </row>
    <row r="39" spans="1:4" x14ac:dyDescent="0.25">
      <c r="A39" s="108">
        <f>Données!A39</f>
        <v>5471</v>
      </c>
      <c r="B39" s="116" t="str">
        <f>Données!B39</f>
        <v>Bettens</v>
      </c>
      <c r="C39" s="323">
        <f>Données!C39</f>
        <v>652</v>
      </c>
      <c r="D39" s="324">
        <f t="shared" si="0"/>
        <v>649973.89664277632</v>
      </c>
    </row>
    <row r="40" spans="1:4" x14ac:dyDescent="0.25">
      <c r="A40" s="108">
        <f>Données!A40</f>
        <v>5472</v>
      </c>
      <c r="B40" s="116" t="str">
        <f>Données!B40</f>
        <v>Bournens</v>
      </c>
      <c r="C40" s="323">
        <f>Données!C40</f>
        <v>612</v>
      </c>
      <c r="D40" s="324">
        <f t="shared" si="0"/>
        <v>610098.19746223791</v>
      </c>
    </row>
    <row r="41" spans="1:4" x14ac:dyDescent="0.25">
      <c r="A41" s="108">
        <f>Données!A41</f>
        <v>5473</v>
      </c>
      <c r="B41" s="116" t="str">
        <f>Données!B41</f>
        <v>Boussens</v>
      </c>
      <c r="C41" s="323">
        <f>Données!C41</f>
        <v>1016</v>
      </c>
      <c r="D41" s="324">
        <f t="shared" si="0"/>
        <v>1012842.7591856759</v>
      </c>
    </row>
    <row r="42" spans="1:4" x14ac:dyDescent="0.25">
      <c r="A42" s="108">
        <f>Données!A42</f>
        <v>5474</v>
      </c>
      <c r="B42" s="116" t="str">
        <f>Données!B42</f>
        <v>La Chaux (Cossonay)</v>
      </c>
      <c r="C42" s="323">
        <f>Données!C42</f>
        <v>421</v>
      </c>
      <c r="D42" s="324">
        <f t="shared" si="0"/>
        <v>419691.73387516692</v>
      </c>
    </row>
    <row r="43" spans="1:4" x14ac:dyDescent="0.25">
      <c r="A43" s="108">
        <f>Données!A43</f>
        <v>5475</v>
      </c>
      <c r="B43" s="116" t="str">
        <f>Données!B43</f>
        <v>Chavannes-le-Veyron</v>
      </c>
      <c r="C43" s="323">
        <f>Données!C43</f>
        <v>160</v>
      </c>
      <c r="D43" s="324">
        <f t="shared" si="0"/>
        <v>159502.7967221537</v>
      </c>
    </row>
    <row r="44" spans="1:4" x14ac:dyDescent="0.25">
      <c r="A44" s="108">
        <f>Données!A44</f>
        <v>5476</v>
      </c>
      <c r="B44" s="116" t="str">
        <f>Données!B44</f>
        <v>Chevilly</v>
      </c>
      <c r="C44" s="323">
        <f>Données!C44</f>
        <v>345</v>
      </c>
      <c r="D44" s="324">
        <f t="shared" si="0"/>
        <v>343927.90543214389</v>
      </c>
    </row>
    <row r="45" spans="1:4" x14ac:dyDescent="0.25">
      <c r="A45" s="108">
        <f>Données!A45</f>
        <v>5477</v>
      </c>
      <c r="B45" s="116" t="str">
        <f>Données!B45</f>
        <v>Cossonay</v>
      </c>
      <c r="C45" s="323">
        <f>Données!C45</f>
        <v>4974</v>
      </c>
      <c r="D45" s="324">
        <f t="shared" si="0"/>
        <v>4958543.1930999532</v>
      </c>
    </row>
    <row r="46" spans="1:4" x14ac:dyDescent="0.25">
      <c r="A46" s="108">
        <f>Données!A46</f>
        <v>5479</v>
      </c>
      <c r="B46" s="116" t="str">
        <f>Données!B46</f>
        <v>Cuarnens</v>
      </c>
      <c r="C46" s="323">
        <f>Données!C46</f>
        <v>557</v>
      </c>
      <c r="D46" s="324">
        <f t="shared" si="0"/>
        <v>555269.11108899757</v>
      </c>
    </row>
    <row r="47" spans="1:4" x14ac:dyDescent="0.25">
      <c r="A47" s="108">
        <f>Données!A47</f>
        <v>5480</v>
      </c>
      <c r="B47" s="116" t="str">
        <f>Données!B47</f>
        <v>Daillens</v>
      </c>
      <c r="C47" s="323">
        <f>Données!C47</f>
        <v>1113</v>
      </c>
      <c r="D47" s="324">
        <f t="shared" si="0"/>
        <v>1109541.3296984816</v>
      </c>
    </row>
    <row r="48" spans="1:4" x14ac:dyDescent="0.25">
      <c r="A48" s="108">
        <f>Données!A48</f>
        <v>5481</v>
      </c>
      <c r="B48" s="116" t="str">
        <f>Données!B48</f>
        <v>Dizy</v>
      </c>
      <c r="C48" s="323">
        <f>Données!C48</f>
        <v>239</v>
      </c>
      <c r="D48" s="324">
        <f t="shared" si="0"/>
        <v>238257.30260371708</v>
      </c>
    </row>
    <row r="49" spans="1:4" x14ac:dyDescent="0.25">
      <c r="A49" s="108">
        <f>Données!A49</f>
        <v>5482</v>
      </c>
      <c r="B49" s="116" t="str">
        <f>Données!B49</f>
        <v>Eclépens</v>
      </c>
      <c r="C49" s="323">
        <f>Données!C49</f>
        <v>1202</v>
      </c>
      <c r="D49" s="324">
        <f t="shared" si="0"/>
        <v>1198264.7603751796</v>
      </c>
    </row>
    <row r="50" spans="1:4" x14ac:dyDescent="0.25">
      <c r="A50" s="108">
        <f>Données!A50</f>
        <v>5483</v>
      </c>
      <c r="B50" s="116" t="str">
        <f>Données!B50</f>
        <v>Ferreyres</v>
      </c>
      <c r="C50" s="323">
        <f>Données!C50</f>
        <v>308</v>
      </c>
      <c r="D50" s="324">
        <f t="shared" si="0"/>
        <v>307042.88369014586</v>
      </c>
    </row>
    <row r="51" spans="1:4" x14ac:dyDescent="0.25">
      <c r="A51" s="108">
        <f>Données!A51</f>
        <v>5484</v>
      </c>
      <c r="B51" s="116" t="str">
        <f>Données!B51</f>
        <v>Gollion</v>
      </c>
      <c r="C51" s="323">
        <f>Données!C51</f>
        <v>1091</v>
      </c>
      <c r="D51" s="324">
        <f t="shared" si="0"/>
        <v>1087609.6951491854</v>
      </c>
    </row>
    <row r="52" spans="1:4" x14ac:dyDescent="0.25">
      <c r="A52" s="108">
        <f>Données!A52</f>
        <v>5485</v>
      </c>
      <c r="B52" s="116" t="str">
        <f>Données!B52</f>
        <v>Grancy</v>
      </c>
      <c r="C52" s="323">
        <f>Données!C52</f>
        <v>541</v>
      </c>
      <c r="D52" s="324">
        <f t="shared" si="0"/>
        <v>539318.83141678211</v>
      </c>
    </row>
    <row r="53" spans="1:4" x14ac:dyDescent="0.25">
      <c r="A53" s="108">
        <f>Données!A53</f>
        <v>5486</v>
      </c>
      <c r="B53" s="116" t="str">
        <f>Données!B53</f>
        <v>L'Isle</v>
      </c>
      <c r="C53" s="323">
        <f>Données!C53</f>
        <v>1106</v>
      </c>
      <c r="D53" s="324">
        <f t="shared" si="0"/>
        <v>1102563.0823418873</v>
      </c>
    </row>
    <row r="54" spans="1:4" x14ac:dyDescent="0.25">
      <c r="A54" s="108">
        <f>Données!A54</f>
        <v>5487</v>
      </c>
      <c r="B54" s="116" t="str">
        <f>Données!B54</f>
        <v>Lussery-Villars</v>
      </c>
      <c r="C54" s="323">
        <f>Données!C54</f>
        <v>469</v>
      </c>
      <c r="D54" s="324">
        <f t="shared" si="0"/>
        <v>467542.572891813</v>
      </c>
    </row>
    <row r="55" spans="1:4" x14ac:dyDescent="0.25">
      <c r="A55" s="108">
        <f>Données!A55</f>
        <v>5488</v>
      </c>
      <c r="B55" s="116" t="str">
        <f>Données!B55</f>
        <v>Mauraz</v>
      </c>
      <c r="C55" s="323">
        <f>Données!C55</f>
        <v>74</v>
      </c>
      <c r="D55" s="324">
        <f t="shared" si="0"/>
        <v>73770.04348399608</v>
      </c>
    </row>
    <row r="56" spans="1:4" x14ac:dyDescent="0.25">
      <c r="A56" s="108">
        <f>Données!A56</f>
        <v>5489</v>
      </c>
      <c r="B56" s="116" t="str">
        <f>Données!B56</f>
        <v>Mex</v>
      </c>
      <c r="C56" s="323">
        <f>Données!C56</f>
        <v>828</v>
      </c>
      <c r="D56" s="324">
        <f t="shared" si="0"/>
        <v>825426.97303714533</v>
      </c>
    </row>
    <row r="57" spans="1:4" x14ac:dyDescent="0.25">
      <c r="A57" s="108">
        <f>Données!A57</f>
        <v>5490</v>
      </c>
      <c r="B57" s="116" t="str">
        <f>Données!B57</f>
        <v>Moiry</v>
      </c>
      <c r="C57" s="323">
        <f>Données!C57</f>
        <v>295</v>
      </c>
      <c r="D57" s="324">
        <f t="shared" si="0"/>
        <v>294083.28145647084</v>
      </c>
    </row>
    <row r="58" spans="1:4" x14ac:dyDescent="0.25">
      <c r="A58" s="108">
        <f>Données!A58</f>
        <v>5491</v>
      </c>
      <c r="B58" s="116" t="str">
        <f>Données!B58</f>
        <v>Mont-la-Ville</v>
      </c>
      <c r="C58" s="323">
        <f>Données!C58</f>
        <v>504</v>
      </c>
      <c r="D58" s="324">
        <f t="shared" si="0"/>
        <v>502433.80967478413</v>
      </c>
    </row>
    <row r="59" spans="1:4" x14ac:dyDescent="0.25">
      <c r="A59" s="108">
        <f>Données!A59</f>
        <v>5492</v>
      </c>
      <c r="B59" s="116" t="str">
        <f>Données!B59</f>
        <v>Montricher</v>
      </c>
      <c r="C59" s="323">
        <f>Données!C59</f>
        <v>947</v>
      </c>
      <c r="D59" s="324">
        <f t="shared" si="0"/>
        <v>944057.17809924716</v>
      </c>
    </row>
    <row r="60" spans="1:4" x14ac:dyDescent="0.25">
      <c r="A60" s="108">
        <f>Données!A60</f>
        <v>5493</v>
      </c>
      <c r="B60" s="116" t="str">
        <f>Données!B60</f>
        <v>Orny</v>
      </c>
      <c r="C60" s="323">
        <f>Données!C60</f>
        <v>525</v>
      </c>
      <c r="D60" s="324">
        <f t="shared" si="0"/>
        <v>523368.55174456676</v>
      </c>
    </row>
    <row r="61" spans="1:4" x14ac:dyDescent="0.25">
      <c r="A61" s="108">
        <f>Données!A61</f>
        <v>5495</v>
      </c>
      <c r="B61" s="116" t="str">
        <f>Données!B61</f>
        <v>Penthalaz</v>
      </c>
      <c r="C61" s="323">
        <f>Données!C61</f>
        <v>3199</v>
      </c>
      <c r="D61" s="324">
        <f t="shared" si="0"/>
        <v>3189059.0419635605</v>
      </c>
    </row>
    <row r="62" spans="1:4" x14ac:dyDescent="0.25">
      <c r="A62" s="108">
        <f>Données!A62</f>
        <v>5496</v>
      </c>
      <c r="B62" s="116" t="str">
        <f>Données!B62</f>
        <v>Penthaz</v>
      </c>
      <c r="C62" s="323">
        <f>Données!C62</f>
        <v>1910</v>
      </c>
      <c r="D62" s="324">
        <f t="shared" si="0"/>
        <v>1904064.6358707095</v>
      </c>
    </row>
    <row r="63" spans="1:4" x14ac:dyDescent="0.25">
      <c r="A63" s="108">
        <f>Données!A63</f>
        <v>5497</v>
      </c>
      <c r="B63" s="116" t="str">
        <f>Données!B63</f>
        <v>Pompaples</v>
      </c>
      <c r="C63" s="323">
        <f>Données!C63</f>
        <v>917</v>
      </c>
      <c r="D63" s="324">
        <f t="shared" si="0"/>
        <v>914150.40371384332</v>
      </c>
    </row>
    <row r="64" spans="1:4" x14ac:dyDescent="0.25">
      <c r="A64" s="108">
        <f>Données!A64</f>
        <v>5498</v>
      </c>
      <c r="B64" s="116" t="str">
        <f>Données!B64</f>
        <v>La Sarraz</v>
      </c>
      <c r="C64" s="323">
        <f>Données!C64</f>
        <v>2609</v>
      </c>
      <c r="D64" s="324">
        <f t="shared" si="0"/>
        <v>2600892.4790506186</v>
      </c>
    </row>
    <row r="65" spans="1:4" x14ac:dyDescent="0.25">
      <c r="A65" s="108">
        <f>Données!A65</f>
        <v>5499</v>
      </c>
      <c r="B65" s="116" t="str">
        <f>Données!B65</f>
        <v>Senarclens</v>
      </c>
      <c r="C65" s="323">
        <f>Données!C65</f>
        <v>505</v>
      </c>
      <c r="D65" s="324">
        <f t="shared" si="0"/>
        <v>503430.70215429756</v>
      </c>
    </row>
    <row r="66" spans="1:4" x14ac:dyDescent="0.25">
      <c r="A66" s="108">
        <f>Données!A66</f>
        <v>5501</v>
      </c>
      <c r="B66" s="116" t="str">
        <f>Données!B66</f>
        <v>Sullens</v>
      </c>
      <c r="C66" s="323">
        <f>Données!C66</f>
        <v>1282</v>
      </c>
      <c r="D66" s="324">
        <f t="shared" si="0"/>
        <v>1278016.1587362564</v>
      </c>
    </row>
    <row r="67" spans="1:4" x14ac:dyDescent="0.25">
      <c r="A67" s="108">
        <f>Données!A67</f>
        <v>5503</v>
      </c>
      <c r="B67" s="116" t="str">
        <f>Données!B67</f>
        <v>Vufflens-la-Ville</v>
      </c>
      <c r="C67" s="323">
        <f>Données!C67</f>
        <v>1327</v>
      </c>
      <c r="D67" s="324">
        <f t="shared" si="0"/>
        <v>1322876.3203143622</v>
      </c>
    </row>
    <row r="68" spans="1:4" x14ac:dyDescent="0.25">
      <c r="A68" s="108">
        <f>Données!A68</f>
        <v>5511</v>
      </c>
      <c r="B68" s="116" t="str">
        <f>Données!B68</f>
        <v>Assens</v>
      </c>
      <c r="C68" s="323">
        <f>Données!C68</f>
        <v>1747</v>
      </c>
      <c r="D68" s="324">
        <f t="shared" si="0"/>
        <v>1741571.1617100155</v>
      </c>
    </row>
    <row r="69" spans="1:4" x14ac:dyDescent="0.25">
      <c r="A69" s="108">
        <f>Données!A69</f>
        <v>5512</v>
      </c>
      <c r="B69" s="116" t="str">
        <f>Données!B69</f>
        <v>Bercher</v>
      </c>
      <c r="C69" s="323">
        <f>Données!C69</f>
        <v>1359</v>
      </c>
      <c r="D69" s="324">
        <f t="shared" si="0"/>
        <v>1354776.8796587929</v>
      </c>
    </row>
    <row r="70" spans="1:4" x14ac:dyDescent="0.25">
      <c r="A70" s="108">
        <f>Données!A70</f>
        <v>5514</v>
      </c>
      <c r="B70" s="116" t="str">
        <f>Données!B70</f>
        <v>Bottens</v>
      </c>
      <c r="C70" s="323">
        <f>Données!C70</f>
        <v>1389</v>
      </c>
      <c r="D70" s="324">
        <f t="shared" si="0"/>
        <v>1384683.6540441967</v>
      </c>
    </row>
    <row r="71" spans="1:4" x14ac:dyDescent="0.25">
      <c r="A71" s="108">
        <f>Données!A71</f>
        <v>5515</v>
      </c>
      <c r="B71" s="116" t="str">
        <f>Données!B71</f>
        <v>Bretigny-sur-Morrens</v>
      </c>
      <c r="C71" s="323">
        <f>Données!C71</f>
        <v>893</v>
      </c>
      <c r="D71" s="324">
        <f t="shared" si="0"/>
        <v>890224.98420552025</v>
      </c>
    </row>
    <row r="72" spans="1:4" x14ac:dyDescent="0.25">
      <c r="A72" s="108">
        <f>Données!A72</f>
        <v>5516</v>
      </c>
      <c r="B72" s="116" t="str">
        <f>Données!B72</f>
        <v>Cugy</v>
      </c>
      <c r="C72" s="323">
        <f>Données!C72</f>
        <v>2824</v>
      </c>
      <c r="D72" s="324">
        <f t="shared" ref="D72:D135" si="1">$D$4/$C$302*C72</f>
        <v>2815224.3621460125</v>
      </c>
    </row>
    <row r="73" spans="1:4" x14ac:dyDescent="0.25">
      <c r="A73" s="108">
        <f>Données!A73</f>
        <v>5518</v>
      </c>
      <c r="B73" s="116" t="str">
        <f>Données!B73</f>
        <v>Echallens</v>
      </c>
      <c r="C73" s="323">
        <f>Données!C73</f>
        <v>6816</v>
      </c>
      <c r="D73" s="324">
        <f t="shared" si="1"/>
        <v>6794819.1403637473</v>
      </c>
    </row>
    <row r="74" spans="1:4" x14ac:dyDescent="0.25">
      <c r="A74" s="108">
        <f>Données!A74</f>
        <v>5520</v>
      </c>
      <c r="B74" s="116" t="str">
        <f>Données!B74</f>
        <v>Essertines-sur-Yverdon</v>
      </c>
      <c r="C74" s="323">
        <f>Données!C74</f>
        <v>1183</v>
      </c>
      <c r="D74" s="324">
        <f t="shared" si="1"/>
        <v>1179323.8032644237</v>
      </c>
    </row>
    <row r="75" spans="1:4" x14ac:dyDescent="0.25">
      <c r="A75" s="108">
        <f>Données!A75</f>
        <v>5521</v>
      </c>
      <c r="B75" s="116" t="str">
        <f>Données!B75</f>
        <v>Etagnières</v>
      </c>
      <c r="C75" s="323">
        <f>Données!C75</f>
        <v>1168</v>
      </c>
      <c r="D75" s="324">
        <f t="shared" si="1"/>
        <v>1164370.4160717218</v>
      </c>
    </row>
    <row r="76" spans="1:4" x14ac:dyDescent="0.25">
      <c r="A76" s="108">
        <f>Données!A76</f>
        <v>5522</v>
      </c>
      <c r="B76" s="116" t="str">
        <f>Données!B76</f>
        <v>Fey</v>
      </c>
      <c r="C76" s="323">
        <f>Données!C76</f>
        <v>791</v>
      </c>
      <c r="D76" s="324">
        <f t="shared" si="1"/>
        <v>788541.9512951473</v>
      </c>
    </row>
    <row r="77" spans="1:4" x14ac:dyDescent="0.25">
      <c r="A77" s="108">
        <f>Données!A77</f>
        <v>5523</v>
      </c>
      <c r="B77" s="116" t="str">
        <f>Données!B77</f>
        <v>Froideville</v>
      </c>
      <c r="C77" s="323">
        <f>Données!C77</f>
        <v>2713</v>
      </c>
      <c r="D77" s="324">
        <f t="shared" si="1"/>
        <v>2704569.2969200183</v>
      </c>
    </row>
    <row r="78" spans="1:4" x14ac:dyDescent="0.25">
      <c r="A78" s="108">
        <f>Données!A78</f>
        <v>5527</v>
      </c>
      <c r="B78" s="116" t="str">
        <f>Données!B78</f>
        <v>Morrens</v>
      </c>
      <c r="C78" s="323">
        <f>Données!C78</f>
        <v>1145</v>
      </c>
      <c r="D78" s="324">
        <f t="shared" si="1"/>
        <v>1141441.8890429123</v>
      </c>
    </row>
    <row r="79" spans="1:4" x14ac:dyDescent="0.25">
      <c r="A79" s="108">
        <f>Données!A79</f>
        <v>5529</v>
      </c>
      <c r="B79" s="116" t="str">
        <f>Données!B79</f>
        <v>Oulens-sous-Echallens</v>
      </c>
      <c r="C79" s="323">
        <f>Données!C79</f>
        <v>609</v>
      </c>
      <c r="D79" s="324">
        <f t="shared" si="1"/>
        <v>607107.52002369752</v>
      </c>
    </row>
    <row r="80" spans="1:4" x14ac:dyDescent="0.25">
      <c r="A80" s="108">
        <f>Données!A80</f>
        <v>5530</v>
      </c>
      <c r="B80" s="116" t="str">
        <f>Données!B80</f>
        <v>Pailly</v>
      </c>
      <c r="C80" s="323">
        <f>Données!C80</f>
        <v>575</v>
      </c>
      <c r="D80" s="324">
        <f t="shared" si="1"/>
        <v>573213.17572023987</v>
      </c>
    </row>
    <row r="81" spans="1:4" x14ac:dyDescent="0.25">
      <c r="A81" s="108">
        <f>Données!A81</f>
        <v>5531</v>
      </c>
      <c r="B81" s="116" t="str">
        <f>Données!B81</f>
        <v>Penthéréaz</v>
      </c>
      <c r="C81" s="323">
        <f>Données!C81</f>
        <v>446</v>
      </c>
      <c r="D81" s="324">
        <f t="shared" si="1"/>
        <v>444614.04586300341</v>
      </c>
    </row>
    <row r="82" spans="1:4" x14ac:dyDescent="0.25">
      <c r="A82" s="108">
        <f>Données!A82</f>
        <v>5533</v>
      </c>
      <c r="B82" s="116" t="str">
        <f>Données!B82</f>
        <v>Poliez-Pittet</v>
      </c>
      <c r="C82" s="323">
        <f>Données!C82</f>
        <v>847</v>
      </c>
      <c r="D82" s="324">
        <f t="shared" si="1"/>
        <v>844367.93014790106</v>
      </c>
    </row>
    <row r="83" spans="1:4" x14ac:dyDescent="0.25">
      <c r="A83" s="108">
        <f>Données!A83</f>
        <v>5534</v>
      </c>
      <c r="B83" s="116" t="str">
        <f>Données!B83</f>
        <v>Rueyres</v>
      </c>
      <c r="C83" s="323">
        <f>Données!C83</f>
        <v>302</v>
      </c>
      <c r="D83" s="324">
        <f t="shared" si="1"/>
        <v>301061.52881306509</v>
      </c>
    </row>
    <row r="84" spans="1:4" x14ac:dyDescent="0.25">
      <c r="A84" s="108">
        <f>Données!A84</f>
        <v>5535</v>
      </c>
      <c r="B84" s="116" t="str">
        <f>Données!B84</f>
        <v>Saint-Barthélemy</v>
      </c>
      <c r="C84" s="323">
        <f>Données!C84</f>
        <v>838</v>
      </c>
      <c r="D84" s="324">
        <f t="shared" si="1"/>
        <v>835395.89783227991</v>
      </c>
    </row>
    <row r="85" spans="1:4" x14ac:dyDescent="0.25">
      <c r="A85" s="108">
        <f>Données!A85</f>
        <v>5537</v>
      </c>
      <c r="B85" s="116" t="str">
        <f>Données!B85</f>
        <v>Villars-le-Terroir</v>
      </c>
      <c r="C85" s="323">
        <f>Données!C85</f>
        <v>1334</v>
      </c>
      <c r="D85" s="324">
        <f t="shared" si="1"/>
        <v>1329854.5676709565</v>
      </c>
    </row>
    <row r="86" spans="1:4" x14ac:dyDescent="0.25">
      <c r="A86" s="108">
        <f>Données!A86</f>
        <v>5539</v>
      </c>
      <c r="B86" s="116" t="str">
        <f>Données!B86</f>
        <v>Vuarrens</v>
      </c>
      <c r="C86" s="323">
        <f>Données!C86</f>
        <v>1113</v>
      </c>
      <c r="D86" s="324">
        <f t="shared" si="1"/>
        <v>1109541.3296984816</v>
      </c>
    </row>
    <row r="87" spans="1:4" x14ac:dyDescent="0.25">
      <c r="A87" s="108">
        <f>Données!A87</f>
        <v>5540</v>
      </c>
      <c r="B87" s="116" t="str">
        <f>Données!B87</f>
        <v>Montilliez</v>
      </c>
      <c r="C87" s="323">
        <f>Données!C87</f>
        <v>1856</v>
      </c>
      <c r="D87" s="324">
        <f t="shared" si="1"/>
        <v>1850232.4419769829</v>
      </c>
    </row>
    <row r="88" spans="1:4" x14ac:dyDescent="0.25">
      <c r="A88" s="108">
        <f>Données!A88</f>
        <v>5541</v>
      </c>
      <c r="B88" s="116" t="str">
        <f>Données!B88</f>
        <v>Goumoëns</v>
      </c>
      <c r="C88" s="323">
        <f>Données!C88</f>
        <v>1251</v>
      </c>
      <c r="D88" s="324">
        <f t="shared" si="1"/>
        <v>1247112.4918713393</v>
      </c>
    </row>
    <row r="89" spans="1:4" x14ac:dyDescent="0.25">
      <c r="A89" s="108">
        <f>Données!A89</f>
        <v>5551</v>
      </c>
      <c r="B89" s="116" t="str">
        <f>Données!B89</f>
        <v>Bonvillars</v>
      </c>
      <c r="C89" s="323">
        <f>Données!C89</f>
        <v>517</v>
      </c>
      <c r="D89" s="324">
        <f t="shared" si="1"/>
        <v>515393.41190845909</v>
      </c>
    </row>
    <row r="90" spans="1:4" x14ac:dyDescent="0.25">
      <c r="A90" s="108">
        <f>Données!A90</f>
        <v>5552</v>
      </c>
      <c r="B90" s="116" t="str">
        <f>Données!B90</f>
        <v>Bullet</v>
      </c>
      <c r="C90" s="323">
        <f>Données!C90</f>
        <v>687</v>
      </c>
      <c r="D90" s="324">
        <f t="shared" si="1"/>
        <v>684865.13342574739</v>
      </c>
    </row>
    <row r="91" spans="1:4" x14ac:dyDescent="0.25">
      <c r="A91" s="108">
        <f>Données!A91</f>
        <v>5553</v>
      </c>
      <c r="B91" s="116" t="str">
        <f>Données!B91</f>
        <v>Champagne</v>
      </c>
      <c r="C91" s="323">
        <f>Données!C91</f>
        <v>1087</v>
      </c>
      <c r="D91" s="324">
        <f t="shared" si="1"/>
        <v>1083622.1252311317</v>
      </c>
    </row>
    <row r="92" spans="1:4" x14ac:dyDescent="0.25">
      <c r="A92" s="108">
        <f>Données!A92</f>
        <v>5554</v>
      </c>
      <c r="B92" s="116" t="str">
        <f>Données!B92</f>
        <v>Concise</v>
      </c>
      <c r="C92" s="323">
        <f>Données!C92</f>
        <v>1035</v>
      </c>
      <c r="D92" s="324">
        <f t="shared" si="1"/>
        <v>1031783.7162964317</v>
      </c>
    </row>
    <row r="93" spans="1:4" x14ac:dyDescent="0.25">
      <c r="A93" s="108">
        <f>Données!A93</f>
        <v>5555</v>
      </c>
      <c r="B93" s="116" t="str">
        <f>Données!B93</f>
        <v>Corcelles-près-Concise</v>
      </c>
      <c r="C93" s="323">
        <f>Données!C93</f>
        <v>439</v>
      </c>
      <c r="D93" s="324">
        <f t="shared" si="1"/>
        <v>437635.79850640916</v>
      </c>
    </row>
    <row r="94" spans="1:4" x14ac:dyDescent="0.25">
      <c r="A94" s="108">
        <f>Données!A94</f>
        <v>5556</v>
      </c>
      <c r="B94" s="116" t="str">
        <f>Données!B94</f>
        <v>Fiez</v>
      </c>
      <c r="C94" s="323">
        <f>Données!C94</f>
        <v>421</v>
      </c>
      <c r="D94" s="324">
        <f t="shared" si="1"/>
        <v>419691.73387516692</v>
      </c>
    </row>
    <row r="95" spans="1:4" x14ac:dyDescent="0.25">
      <c r="A95" s="108">
        <f>Données!A95</f>
        <v>5557</v>
      </c>
      <c r="B95" s="116" t="str">
        <f>Données!B95</f>
        <v>Fontaines-sur-Grandson</v>
      </c>
      <c r="C95" s="323">
        <f>Données!C95</f>
        <v>228</v>
      </c>
      <c r="D95" s="324">
        <f t="shared" si="1"/>
        <v>227291.48532906899</v>
      </c>
    </row>
    <row r="96" spans="1:4" x14ac:dyDescent="0.25">
      <c r="A96" s="108">
        <f>Données!A96</f>
        <v>5559</v>
      </c>
      <c r="B96" s="116" t="str">
        <f>Données!B96</f>
        <v>Giez</v>
      </c>
      <c r="C96" s="323">
        <f>Données!C96</f>
        <v>464</v>
      </c>
      <c r="D96" s="324">
        <f t="shared" si="1"/>
        <v>462558.11049424572</v>
      </c>
    </row>
    <row r="97" spans="1:4" x14ac:dyDescent="0.25">
      <c r="A97" s="108">
        <f>Données!A97</f>
        <v>5560</v>
      </c>
      <c r="B97" s="116" t="str">
        <f>Données!B97</f>
        <v>Grandevent</v>
      </c>
      <c r="C97" s="323">
        <f>Données!C97</f>
        <v>241</v>
      </c>
      <c r="D97" s="324">
        <f t="shared" si="1"/>
        <v>240251.08756274398</v>
      </c>
    </row>
    <row r="98" spans="1:4" x14ac:dyDescent="0.25">
      <c r="A98" s="108">
        <f>Données!A98</f>
        <v>5561</v>
      </c>
      <c r="B98" s="116" t="str">
        <f>Données!B98</f>
        <v>Grandson</v>
      </c>
      <c r="C98" s="323">
        <f>Données!C98</f>
        <v>3391</v>
      </c>
      <c r="D98" s="324">
        <f t="shared" si="1"/>
        <v>3380462.3980301446</v>
      </c>
    </row>
    <row r="99" spans="1:4" x14ac:dyDescent="0.25">
      <c r="A99" s="108">
        <f>Données!A99</f>
        <v>5562</v>
      </c>
      <c r="B99" s="116" t="str">
        <f>Données!B99</f>
        <v>Mauborget</v>
      </c>
      <c r="C99" s="323">
        <f>Données!C99</f>
        <v>137</v>
      </c>
      <c r="D99" s="324">
        <f t="shared" si="1"/>
        <v>136574.2696933441</v>
      </c>
    </row>
    <row r="100" spans="1:4" x14ac:dyDescent="0.25">
      <c r="A100" s="108">
        <f>Données!A100</f>
        <v>5563</v>
      </c>
      <c r="B100" s="116" t="str">
        <f>Données!B100</f>
        <v>Mutrux</v>
      </c>
      <c r="C100" s="323">
        <f>Données!C100</f>
        <v>138</v>
      </c>
      <c r="D100" s="324">
        <f t="shared" si="1"/>
        <v>137571.16217285756</v>
      </c>
    </row>
    <row r="101" spans="1:4" x14ac:dyDescent="0.25">
      <c r="A101" s="108">
        <f>Données!A101</f>
        <v>5564</v>
      </c>
      <c r="B101" s="116" t="str">
        <f>Données!B101</f>
        <v>Novalles</v>
      </c>
      <c r="C101" s="323">
        <f>Données!C101</f>
        <v>105</v>
      </c>
      <c r="D101" s="324">
        <f t="shared" si="1"/>
        <v>104673.71034891336</v>
      </c>
    </row>
    <row r="102" spans="1:4" x14ac:dyDescent="0.25">
      <c r="A102" s="108">
        <f>Données!A102</f>
        <v>5565</v>
      </c>
      <c r="B102" s="116" t="str">
        <f>Données!B102</f>
        <v>Onnens</v>
      </c>
      <c r="C102" s="323">
        <f>Données!C102</f>
        <v>527</v>
      </c>
      <c r="D102" s="324">
        <f t="shared" si="1"/>
        <v>525362.33670359373</v>
      </c>
    </row>
    <row r="103" spans="1:4" x14ac:dyDescent="0.25">
      <c r="A103" s="108">
        <f>Données!A103</f>
        <v>5566</v>
      </c>
      <c r="B103" s="116" t="str">
        <f>Données!B103</f>
        <v>Provence</v>
      </c>
      <c r="C103" s="323">
        <f>Données!C103</f>
        <v>421</v>
      </c>
      <c r="D103" s="324">
        <f t="shared" si="1"/>
        <v>419691.73387516692</v>
      </c>
    </row>
    <row r="104" spans="1:4" x14ac:dyDescent="0.25">
      <c r="A104" s="108">
        <f>Données!A104</f>
        <v>5568</v>
      </c>
      <c r="B104" s="116" t="str">
        <f>Données!B104</f>
        <v>Sainte-Croix</v>
      </c>
      <c r="C104" s="323">
        <f>Données!C104</f>
        <v>5149</v>
      </c>
      <c r="D104" s="324">
        <f t="shared" si="1"/>
        <v>5132999.3770148084</v>
      </c>
    </row>
    <row r="105" spans="1:4" x14ac:dyDescent="0.25">
      <c r="A105" s="108">
        <f>Données!A105</f>
        <v>5571</v>
      </c>
      <c r="B105" s="116" t="str">
        <f>Données!B105</f>
        <v>Tévenon</v>
      </c>
      <c r="C105" s="323">
        <f>Données!C105</f>
        <v>857</v>
      </c>
      <c r="D105" s="324">
        <f t="shared" si="1"/>
        <v>854336.85494303575</v>
      </c>
    </row>
    <row r="106" spans="1:4" x14ac:dyDescent="0.25">
      <c r="A106" s="108">
        <f>Données!A106</f>
        <v>5581</v>
      </c>
      <c r="B106" s="116" t="str">
        <f>Données!B106</f>
        <v>Belmont-sur-Lausanne</v>
      </c>
      <c r="C106" s="323">
        <f>Données!C106</f>
        <v>3891</v>
      </c>
      <c r="D106" s="324">
        <f t="shared" si="1"/>
        <v>3878908.637786875</v>
      </c>
    </row>
    <row r="107" spans="1:4" x14ac:dyDescent="0.25">
      <c r="A107" s="108">
        <f>Données!A107</f>
        <v>5582</v>
      </c>
      <c r="B107" s="116" t="str">
        <f>Données!B107</f>
        <v>Cheseaux-sur-Lausanne</v>
      </c>
      <c r="C107" s="323">
        <f>Données!C107</f>
        <v>4870</v>
      </c>
      <c r="D107" s="324">
        <f t="shared" si="1"/>
        <v>4854866.3752305526</v>
      </c>
    </row>
    <row r="108" spans="1:4" x14ac:dyDescent="0.25">
      <c r="A108" s="108">
        <f>Données!A108</f>
        <v>5583</v>
      </c>
      <c r="B108" s="116" t="str">
        <f>Données!B108</f>
        <v>Crissier</v>
      </c>
      <c r="C108" s="323">
        <f>Données!C108</f>
        <v>11116</v>
      </c>
      <c r="D108" s="324">
        <f t="shared" si="1"/>
        <v>11081456.802271627</v>
      </c>
    </row>
    <row r="109" spans="1:4" x14ac:dyDescent="0.25">
      <c r="A109" s="108">
        <f>Données!A109</f>
        <v>5584</v>
      </c>
      <c r="B109" s="116" t="str">
        <f>Données!B109</f>
        <v>Epalinges</v>
      </c>
      <c r="C109" s="323">
        <f>Données!C109</f>
        <v>9869</v>
      </c>
      <c r="D109" s="324">
        <f t="shared" si="1"/>
        <v>9838331.8803183418</v>
      </c>
    </row>
    <row r="110" spans="1:4" x14ac:dyDescent="0.25">
      <c r="A110" s="108">
        <f>Données!A110</f>
        <v>5585</v>
      </c>
      <c r="B110" s="116" t="str">
        <f>Données!B110</f>
        <v>Jouxtens-Mézery</v>
      </c>
      <c r="C110" s="323">
        <f>Données!C110</f>
        <v>1455</v>
      </c>
      <c r="D110" s="324">
        <f t="shared" si="1"/>
        <v>1450478.5576920852</v>
      </c>
    </row>
    <row r="111" spans="1:4" x14ac:dyDescent="0.25">
      <c r="A111" s="108">
        <f>Données!A111</f>
        <v>5586</v>
      </c>
      <c r="B111" s="116" t="str">
        <f>Données!B111</f>
        <v>Lausanne</v>
      </c>
      <c r="C111" s="323">
        <f>Données!C111</f>
        <v>145707</v>
      </c>
      <c r="D111" s="324">
        <f t="shared" si="1"/>
        <v>145254212.5124678</v>
      </c>
    </row>
    <row r="112" spans="1:4" x14ac:dyDescent="0.25">
      <c r="A112" s="108">
        <f>Données!A112</f>
        <v>5587</v>
      </c>
      <c r="B112" s="116" t="str">
        <f>Données!B112</f>
        <v>Le Mont-sur-Lausanne</v>
      </c>
      <c r="C112" s="323">
        <f>Données!C112</f>
        <v>9785</v>
      </c>
      <c r="D112" s="324">
        <f t="shared" si="1"/>
        <v>9754592.912039211</v>
      </c>
    </row>
    <row r="113" spans="1:4" x14ac:dyDescent="0.25">
      <c r="A113" s="108">
        <f>Données!A113</f>
        <v>5588</v>
      </c>
      <c r="B113" s="116" t="str">
        <f>Données!B113</f>
        <v>Paudex</v>
      </c>
      <c r="C113" s="323">
        <f>Données!C113</f>
        <v>1483</v>
      </c>
      <c r="D113" s="324">
        <f t="shared" si="1"/>
        <v>1478391.5471184619</v>
      </c>
    </row>
    <row r="114" spans="1:4" x14ac:dyDescent="0.25">
      <c r="A114" s="108">
        <f>Données!A114</f>
        <v>5589</v>
      </c>
      <c r="B114" s="116" t="str">
        <f>Données!B114</f>
        <v>Prilly</v>
      </c>
      <c r="C114" s="323">
        <f>Données!C114</f>
        <v>13069</v>
      </c>
      <c r="D114" s="324">
        <f t="shared" si="1"/>
        <v>13028387.814761415</v>
      </c>
    </row>
    <row r="115" spans="1:4" x14ac:dyDescent="0.25">
      <c r="A115" s="108">
        <f>Données!A115</f>
        <v>5590</v>
      </c>
      <c r="B115" s="116" t="str">
        <f>Données!B115</f>
        <v>Pully</v>
      </c>
      <c r="C115" s="323">
        <f>Données!C115</f>
        <v>19550</v>
      </c>
      <c r="D115" s="324">
        <f t="shared" si="1"/>
        <v>19489247.974488154</v>
      </c>
    </row>
    <row r="116" spans="1:4" x14ac:dyDescent="0.25">
      <c r="A116" s="108">
        <f>Données!A116</f>
        <v>5591</v>
      </c>
      <c r="B116" s="116" t="str">
        <f>Données!B116</f>
        <v>Renens</v>
      </c>
      <c r="C116" s="323">
        <f>Données!C116</f>
        <v>21827</v>
      </c>
      <c r="D116" s="324">
        <f t="shared" si="1"/>
        <v>21759172.150340304</v>
      </c>
    </row>
    <row r="117" spans="1:4" x14ac:dyDescent="0.25">
      <c r="A117" s="108">
        <f>Données!A117</f>
        <v>5592</v>
      </c>
      <c r="B117" s="116" t="str">
        <f>Données!B117</f>
        <v>Romanel-sur-Lausanne</v>
      </c>
      <c r="C117" s="323">
        <f>Données!C117</f>
        <v>4331</v>
      </c>
      <c r="D117" s="324">
        <f t="shared" si="1"/>
        <v>4317541.3287727972</v>
      </c>
    </row>
    <row r="118" spans="1:4" x14ac:dyDescent="0.25">
      <c r="A118" s="108">
        <f>Données!A118</f>
        <v>5601</v>
      </c>
      <c r="B118" s="116" t="str">
        <f>Données!B118</f>
        <v>Chexbres</v>
      </c>
      <c r="C118" s="323">
        <f>Données!C118</f>
        <v>2272</v>
      </c>
      <c r="D118" s="324">
        <f t="shared" si="1"/>
        <v>2264939.7134545823</v>
      </c>
    </row>
    <row r="119" spans="1:4" x14ac:dyDescent="0.25">
      <c r="A119" s="108">
        <f>Données!A119</f>
        <v>5604</v>
      </c>
      <c r="B119" s="116" t="str">
        <f>Données!B119</f>
        <v>Forel (Lavaux)</v>
      </c>
      <c r="C119" s="323">
        <f>Données!C119</f>
        <v>2113</v>
      </c>
      <c r="D119" s="324">
        <f t="shared" si="1"/>
        <v>2106433.8092119424</v>
      </c>
    </row>
    <row r="120" spans="1:4" x14ac:dyDescent="0.25">
      <c r="A120" s="108">
        <f>Données!A120</f>
        <v>5606</v>
      </c>
      <c r="B120" s="116" t="str">
        <f>Données!B120</f>
        <v>Lutry</v>
      </c>
      <c r="C120" s="323">
        <f>Données!C120</f>
        <v>10843</v>
      </c>
      <c r="D120" s="324">
        <f t="shared" si="1"/>
        <v>10809305.155364452</v>
      </c>
    </row>
    <row r="121" spans="1:4" x14ac:dyDescent="0.25">
      <c r="A121" s="108">
        <f>Données!A121</f>
        <v>5607</v>
      </c>
      <c r="B121" s="116" t="str">
        <f>Données!B121</f>
        <v>Puidoux</v>
      </c>
      <c r="C121" s="323">
        <f>Données!C121</f>
        <v>3014</v>
      </c>
      <c r="D121" s="324">
        <f t="shared" si="1"/>
        <v>3004633.93325357</v>
      </c>
    </row>
    <row r="122" spans="1:4" x14ac:dyDescent="0.25">
      <c r="A122" s="108">
        <f>Données!A122</f>
        <v>5609</v>
      </c>
      <c r="B122" s="116" t="str">
        <f>Données!B122</f>
        <v>Rivaz</v>
      </c>
      <c r="C122" s="323">
        <f>Données!C122</f>
        <v>330</v>
      </c>
      <c r="D122" s="324">
        <f t="shared" si="1"/>
        <v>328974.51823944197</v>
      </c>
    </row>
    <row r="123" spans="1:4" x14ac:dyDescent="0.25">
      <c r="A123" s="108">
        <f>Données!A123</f>
        <v>5610</v>
      </c>
      <c r="B123" s="116" t="str">
        <f>Données!B123</f>
        <v>St-Saphorin (Lavaux)</v>
      </c>
      <c r="C123" s="323">
        <f>Données!C123</f>
        <v>393</v>
      </c>
      <c r="D123" s="324">
        <f t="shared" si="1"/>
        <v>391778.74444878998</v>
      </c>
    </row>
    <row r="124" spans="1:4" x14ac:dyDescent="0.25">
      <c r="A124" s="108">
        <f>Données!A124</f>
        <v>5611</v>
      </c>
      <c r="B124" s="116" t="str">
        <f>Données!B124</f>
        <v>Savigny</v>
      </c>
      <c r="C124" s="323">
        <f>Données!C124</f>
        <v>3598</v>
      </c>
      <c r="D124" s="324">
        <f t="shared" si="1"/>
        <v>3586819.1412894311</v>
      </c>
    </row>
    <row r="125" spans="1:4" x14ac:dyDescent="0.25">
      <c r="A125" s="108">
        <f>Données!A125</f>
        <v>5613</v>
      </c>
      <c r="B125" s="116" t="str">
        <f>Données!B125</f>
        <v>Bourg-en-Lavaux</v>
      </c>
      <c r="C125" s="323">
        <f>Données!C125</f>
        <v>5558</v>
      </c>
      <c r="D125" s="324">
        <f t="shared" si="1"/>
        <v>5540728.4011358134</v>
      </c>
    </row>
    <row r="126" spans="1:4" x14ac:dyDescent="0.25">
      <c r="A126" s="108">
        <f>Données!A126</f>
        <v>5621</v>
      </c>
      <c r="B126" s="116" t="str">
        <f>Données!B126</f>
        <v>Aclens</v>
      </c>
      <c r="C126" s="323">
        <f>Données!C126</f>
        <v>609</v>
      </c>
      <c r="D126" s="324">
        <f t="shared" si="1"/>
        <v>607107.52002369752</v>
      </c>
    </row>
    <row r="127" spans="1:4" x14ac:dyDescent="0.25">
      <c r="A127" s="108">
        <f>Données!A127</f>
        <v>5622</v>
      </c>
      <c r="B127" s="116" t="str">
        <f>Données!B127</f>
        <v>Bremblens</v>
      </c>
      <c r="C127" s="323">
        <f>Données!C127</f>
        <v>596</v>
      </c>
      <c r="D127" s="324">
        <f t="shared" si="1"/>
        <v>594147.91779002245</v>
      </c>
    </row>
    <row r="128" spans="1:4" x14ac:dyDescent="0.25">
      <c r="A128" s="108">
        <f>Données!A128</f>
        <v>5623</v>
      </c>
      <c r="B128" s="116" t="str">
        <f>Données!B128</f>
        <v>Buchillon</v>
      </c>
      <c r="C128" s="323">
        <f>Données!C128</f>
        <v>682</v>
      </c>
      <c r="D128" s="324">
        <f t="shared" si="1"/>
        <v>679880.67102818005</v>
      </c>
    </row>
    <row r="129" spans="1:4" x14ac:dyDescent="0.25">
      <c r="A129" s="108">
        <f>Données!A129</f>
        <v>5624</v>
      </c>
      <c r="B129" s="116" t="str">
        <f>Données!B129</f>
        <v>Bussigny</v>
      </c>
      <c r="C129" s="323">
        <f>Données!C129</f>
        <v>12138</v>
      </c>
      <c r="D129" s="324">
        <f t="shared" si="1"/>
        <v>12100280.916334385</v>
      </c>
    </row>
    <row r="130" spans="1:4" x14ac:dyDescent="0.25">
      <c r="A130" s="108">
        <f>Données!A130</f>
        <v>5627</v>
      </c>
      <c r="B130" s="116" t="str">
        <f>Données!B130</f>
        <v>Chavannes-près-Renens</v>
      </c>
      <c r="C130" s="323">
        <f>Données!C130</f>
        <v>10735</v>
      </c>
      <c r="D130" s="324">
        <f t="shared" si="1"/>
        <v>10701640.767577</v>
      </c>
    </row>
    <row r="131" spans="1:4" x14ac:dyDescent="0.25">
      <c r="A131" s="108">
        <f>Données!A131</f>
        <v>5628</v>
      </c>
      <c r="B131" s="116" t="str">
        <f>Données!B131</f>
        <v>Chigny</v>
      </c>
      <c r="C131" s="323">
        <f>Données!C131</f>
        <v>410</v>
      </c>
      <c r="D131" s="324">
        <f t="shared" si="1"/>
        <v>408725.9166005188</v>
      </c>
    </row>
    <row r="132" spans="1:4" x14ac:dyDescent="0.25">
      <c r="A132" s="108">
        <f>Données!A132</f>
        <v>5629</v>
      </c>
      <c r="B132" s="116" t="str">
        <f>Données!B132</f>
        <v>Clarmont</v>
      </c>
      <c r="C132" s="323">
        <f>Données!C132</f>
        <v>232</v>
      </c>
      <c r="D132" s="324">
        <f t="shared" si="1"/>
        <v>231279.05524712286</v>
      </c>
    </row>
    <row r="133" spans="1:4" x14ac:dyDescent="0.25">
      <c r="A133" s="108">
        <f>Données!A133</f>
        <v>5631</v>
      </c>
      <c r="B133" s="116" t="str">
        <f>Données!B133</f>
        <v>Denens</v>
      </c>
      <c r="C133" s="323">
        <f>Données!C133</f>
        <v>748</v>
      </c>
      <c r="D133" s="324">
        <f t="shared" si="1"/>
        <v>745675.5746760685</v>
      </c>
    </row>
    <row r="134" spans="1:4" x14ac:dyDescent="0.25">
      <c r="A134" s="108">
        <f>Données!A134</f>
        <v>5632</v>
      </c>
      <c r="B134" s="116" t="str">
        <f>Données!B134</f>
        <v>Denges</v>
      </c>
      <c r="C134" s="323">
        <f>Données!C134</f>
        <v>1844</v>
      </c>
      <c r="D134" s="324">
        <f t="shared" si="1"/>
        <v>1838269.7322228213</v>
      </c>
    </row>
    <row r="135" spans="1:4" x14ac:dyDescent="0.25">
      <c r="A135" s="108">
        <f>Données!A135</f>
        <v>5633</v>
      </c>
      <c r="B135" s="116" t="str">
        <f>Données!B135</f>
        <v>Echandens</v>
      </c>
      <c r="C135" s="323">
        <f>Données!C135</f>
        <v>3116</v>
      </c>
      <c r="D135" s="324">
        <f t="shared" si="1"/>
        <v>3106316.9661639431</v>
      </c>
    </row>
    <row r="136" spans="1:4" x14ac:dyDescent="0.25">
      <c r="A136" s="108">
        <f>Données!A136</f>
        <v>5634</v>
      </c>
      <c r="B136" s="116" t="str">
        <f>Données!B136</f>
        <v>Echichens</v>
      </c>
      <c r="C136" s="323">
        <f>Données!C136</f>
        <v>3241</v>
      </c>
      <c r="D136" s="324">
        <f t="shared" ref="D136:D199" si="2">$D$4/$C$302*C136</f>
        <v>3230928.5261031259</v>
      </c>
    </row>
    <row r="137" spans="1:4" x14ac:dyDescent="0.25">
      <c r="A137" s="108">
        <f>Données!A137</f>
        <v>5635</v>
      </c>
      <c r="B137" s="116" t="str">
        <f>Données!B137</f>
        <v>Ecublens</v>
      </c>
      <c r="C137" s="323">
        <f>Données!C137</f>
        <v>13758</v>
      </c>
      <c r="D137" s="324">
        <f t="shared" si="2"/>
        <v>13715246.733146191</v>
      </c>
    </row>
    <row r="138" spans="1:4" x14ac:dyDescent="0.25">
      <c r="A138" s="108">
        <f>Données!A138</f>
        <v>5636</v>
      </c>
      <c r="B138" s="116" t="str">
        <f>Données!B138</f>
        <v>Etoy</v>
      </c>
      <c r="C138" s="323">
        <f>Données!C138</f>
        <v>3013</v>
      </c>
      <c r="D138" s="324">
        <f t="shared" si="2"/>
        <v>3003637.0407740567</v>
      </c>
    </row>
    <row r="139" spans="1:4" x14ac:dyDescent="0.25">
      <c r="A139" s="108">
        <f>Données!A139</f>
        <v>5637</v>
      </c>
      <c r="B139" s="116" t="str">
        <f>Données!B139</f>
        <v>Lavigny</v>
      </c>
      <c r="C139" s="323">
        <f>Données!C139</f>
        <v>1108</v>
      </c>
      <c r="D139" s="324">
        <f t="shared" si="2"/>
        <v>1104556.8673009144</v>
      </c>
    </row>
    <row r="140" spans="1:4" x14ac:dyDescent="0.25">
      <c r="A140" s="108">
        <f>Données!A140</f>
        <v>5638</v>
      </c>
      <c r="B140" s="116" t="str">
        <f>Données!B140</f>
        <v>Lonay</v>
      </c>
      <c r="C140" s="323">
        <f>Données!C140</f>
        <v>2719</v>
      </c>
      <c r="D140" s="324">
        <f t="shared" si="2"/>
        <v>2710550.651797099</v>
      </c>
    </row>
    <row r="141" spans="1:4" x14ac:dyDescent="0.25">
      <c r="A141" s="108">
        <f>Données!A141</f>
        <v>5639</v>
      </c>
      <c r="B141" s="116" t="str">
        <f>Données!B141</f>
        <v>Lully</v>
      </c>
      <c r="C141" s="323">
        <f>Données!C141</f>
        <v>824</v>
      </c>
      <c r="D141" s="324">
        <f t="shared" si="2"/>
        <v>821439.40311909153</v>
      </c>
    </row>
    <row r="142" spans="1:4" x14ac:dyDescent="0.25">
      <c r="A142" s="108">
        <f>Données!A142</f>
        <v>5640</v>
      </c>
      <c r="B142" s="116" t="str">
        <f>Données!B142</f>
        <v>Lussy-sur-Morges</v>
      </c>
      <c r="C142" s="323">
        <f>Données!C142</f>
        <v>721</v>
      </c>
      <c r="D142" s="324">
        <f t="shared" si="2"/>
        <v>718759.47772920504</v>
      </c>
    </row>
    <row r="143" spans="1:4" x14ac:dyDescent="0.25">
      <c r="A143" s="108">
        <f>Données!A143</f>
        <v>5642</v>
      </c>
      <c r="B143" s="116" t="str">
        <f>Données!B143</f>
        <v>Morges</v>
      </c>
      <c r="C143" s="323">
        <f>Données!C143</f>
        <v>17813</v>
      </c>
      <c r="D143" s="324">
        <f t="shared" si="2"/>
        <v>17757645.737573273</v>
      </c>
    </row>
    <row r="144" spans="1:4" x14ac:dyDescent="0.25">
      <c r="A144" s="108">
        <f>Données!A144</f>
        <v>5643</v>
      </c>
      <c r="B144" s="116" t="str">
        <f>Données!B144</f>
        <v>Préverenges</v>
      </c>
      <c r="C144" s="323">
        <f>Données!C144</f>
        <v>5236</v>
      </c>
      <c r="D144" s="324">
        <f t="shared" si="2"/>
        <v>5219729.0227324795</v>
      </c>
    </row>
    <row r="145" spans="1:4" x14ac:dyDescent="0.25">
      <c r="A145" s="108">
        <f>Données!A145</f>
        <v>5645</v>
      </c>
      <c r="B145" s="116" t="str">
        <f>Données!B145</f>
        <v>Romanel-sur-Morges</v>
      </c>
      <c r="C145" s="323">
        <f>Données!C145</f>
        <v>462</v>
      </c>
      <c r="D145" s="324">
        <f t="shared" si="2"/>
        <v>460564.32553521876</v>
      </c>
    </row>
    <row r="146" spans="1:4" x14ac:dyDescent="0.25">
      <c r="A146" s="108">
        <f>Données!A146</f>
        <v>5646</v>
      </c>
      <c r="B146" s="116" t="str">
        <f>Données!B146</f>
        <v>Saint-Prex</v>
      </c>
      <c r="C146" s="323">
        <f>Données!C146</f>
        <v>5922</v>
      </c>
      <c r="D146" s="324">
        <f t="shared" si="2"/>
        <v>5903597.2636787137</v>
      </c>
    </row>
    <row r="147" spans="1:4" x14ac:dyDescent="0.25">
      <c r="A147" s="108">
        <f>Données!A147</f>
        <v>5648</v>
      </c>
      <c r="B147" s="116" t="str">
        <f>Données!B147</f>
        <v>Saint-Sulpice</v>
      </c>
      <c r="C147" s="323">
        <f>Données!C147</f>
        <v>5193</v>
      </c>
      <c r="D147" s="324">
        <f t="shared" si="2"/>
        <v>5176862.6461134003</v>
      </c>
    </row>
    <row r="148" spans="1:4" x14ac:dyDescent="0.25">
      <c r="A148" s="108">
        <f>Données!A148</f>
        <v>5649</v>
      </c>
      <c r="B148" s="116" t="str">
        <f>Données!B148</f>
        <v>Tolochenaz</v>
      </c>
      <c r="C148" s="323">
        <f>Données!C148</f>
        <v>1928</v>
      </c>
      <c r="D148" s="324">
        <f t="shared" si="2"/>
        <v>1922008.7005019519</v>
      </c>
    </row>
    <row r="149" spans="1:4" x14ac:dyDescent="0.25">
      <c r="A149" s="108">
        <f>Données!A149</f>
        <v>5650</v>
      </c>
      <c r="B149" s="116" t="str">
        <f>Données!B149</f>
        <v>Vaux-sur-Morges</v>
      </c>
      <c r="C149" s="323">
        <f>Données!C149</f>
        <v>185</v>
      </c>
      <c r="D149" s="324">
        <f t="shared" si="2"/>
        <v>184425.10870999019</v>
      </c>
    </row>
    <row r="150" spans="1:4" x14ac:dyDescent="0.25">
      <c r="A150" s="108">
        <f>Données!A150</f>
        <v>5651</v>
      </c>
      <c r="B150" s="116" t="str">
        <f>Données!B150</f>
        <v>Villars-Sainte-Croix</v>
      </c>
      <c r="C150" s="323">
        <f>Données!C150</f>
        <v>943</v>
      </c>
      <c r="D150" s="324">
        <f t="shared" si="2"/>
        <v>940069.60818119335</v>
      </c>
    </row>
    <row r="151" spans="1:4" x14ac:dyDescent="0.25">
      <c r="A151" s="108">
        <f>Données!A151</f>
        <v>5652</v>
      </c>
      <c r="B151" s="116" t="str">
        <f>Données!B151</f>
        <v>Villars-sous-Yens</v>
      </c>
      <c r="C151" s="323">
        <f>Données!C151</f>
        <v>603</v>
      </c>
      <c r="D151" s="324">
        <f t="shared" si="2"/>
        <v>601126.16514661675</v>
      </c>
    </row>
    <row r="152" spans="1:4" x14ac:dyDescent="0.25">
      <c r="A152" s="108">
        <f>Données!A152</f>
        <v>5653</v>
      </c>
      <c r="B152" s="116" t="str">
        <f>Données!B152</f>
        <v>Vufflens-le-Château</v>
      </c>
      <c r="C152" s="323">
        <f>Données!C152</f>
        <v>887</v>
      </c>
      <c r="D152" s="324">
        <f t="shared" si="2"/>
        <v>884243.62932843948</v>
      </c>
    </row>
    <row r="153" spans="1:4" x14ac:dyDescent="0.25">
      <c r="A153" s="108">
        <f>Données!A153</f>
        <v>5654</v>
      </c>
      <c r="B153" s="116" t="str">
        <f>Données!B153</f>
        <v>Vullierens</v>
      </c>
      <c r="C153" s="323">
        <f>Données!C153</f>
        <v>577</v>
      </c>
      <c r="D153" s="324">
        <f t="shared" si="2"/>
        <v>575206.96067926672</v>
      </c>
    </row>
    <row r="154" spans="1:4" x14ac:dyDescent="0.25">
      <c r="A154" s="108">
        <f>Données!A154</f>
        <v>5655</v>
      </c>
      <c r="B154" s="116" t="str">
        <f>Données!B154</f>
        <v>Yens</v>
      </c>
      <c r="C154" s="323">
        <f>Données!C154</f>
        <v>1481</v>
      </c>
      <c r="D154" s="324">
        <f t="shared" si="2"/>
        <v>1476397.7621594351</v>
      </c>
    </row>
    <row r="155" spans="1:4" x14ac:dyDescent="0.25">
      <c r="A155" s="108">
        <f>Données!A155</f>
        <v>5656</v>
      </c>
      <c r="B155" s="116" t="str">
        <f>Données!B155</f>
        <v>Hautemorges</v>
      </c>
      <c r="C155" s="323">
        <f>Données!C155</f>
        <v>4426</v>
      </c>
      <c r="D155" s="324">
        <f t="shared" si="2"/>
        <v>4412246.1143265767</v>
      </c>
    </row>
    <row r="156" spans="1:4" x14ac:dyDescent="0.25">
      <c r="A156" s="108">
        <f>Données!A156</f>
        <v>5661</v>
      </c>
      <c r="B156" s="116" t="str">
        <f>Données!B156</f>
        <v>Boulens</v>
      </c>
      <c r="C156" s="323">
        <f>Données!C156</f>
        <v>371</v>
      </c>
      <c r="D156" s="324">
        <f t="shared" si="2"/>
        <v>369847.10989949387</v>
      </c>
    </row>
    <row r="157" spans="1:4" x14ac:dyDescent="0.25">
      <c r="A157" s="108">
        <f>Données!A157</f>
        <v>5663</v>
      </c>
      <c r="B157" s="116" t="str">
        <f>Données!B157</f>
        <v>Bussy-sur-Moudon</v>
      </c>
      <c r="C157" s="323">
        <f>Données!C157</f>
        <v>267</v>
      </c>
      <c r="D157" s="324">
        <f t="shared" si="2"/>
        <v>266170.29203009396</v>
      </c>
    </row>
    <row r="158" spans="1:4" x14ac:dyDescent="0.25">
      <c r="A158" s="108">
        <f>Données!A158</f>
        <v>5665</v>
      </c>
      <c r="B158" s="116" t="str">
        <f>Données!B158</f>
        <v>Chavannes-sur-Moudon</v>
      </c>
      <c r="C158" s="323">
        <f>Données!C158</f>
        <v>232</v>
      </c>
      <c r="D158" s="324">
        <f t="shared" si="2"/>
        <v>231279.05524712286</v>
      </c>
    </row>
    <row r="159" spans="1:4" x14ac:dyDescent="0.25">
      <c r="A159" s="108">
        <f>Données!A159</f>
        <v>5671</v>
      </c>
      <c r="B159" s="116" t="str">
        <f>Données!B159</f>
        <v>Dompierre</v>
      </c>
      <c r="C159" s="323">
        <f>Données!C159</f>
        <v>242</v>
      </c>
      <c r="D159" s="324">
        <f t="shared" si="2"/>
        <v>241247.98004225746</v>
      </c>
    </row>
    <row r="160" spans="1:4" x14ac:dyDescent="0.25">
      <c r="A160" s="108">
        <f>Données!A160</f>
        <v>5673</v>
      </c>
      <c r="B160" s="116" t="str">
        <f>Données!B160</f>
        <v>Hermenches</v>
      </c>
      <c r="C160" s="323">
        <f>Données!C160</f>
        <v>364</v>
      </c>
      <c r="D160" s="324">
        <f t="shared" si="2"/>
        <v>362868.86254289962</v>
      </c>
    </row>
    <row r="161" spans="1:4" x14ac:dyDescent="0.25">
      <c r="A161" s="108">
        <f>Données!A161</f>
        <v>5674</v>
      </c>
      <c r="B161" s="116" t="str">
        <f>Données!B161</f>
        <v>Lovatens</v>
      </c>
      <c r="C161" s="323">
        <f>Données!C161</f>
        <v>152</v>
      </c>
      <c r="D161" s="324">
        <f t="shared" si="2"/>
        <v>151527.656886046</v>
      </c>
    </row>
    <row r="162" spans="1:4" x14ac:dyDescent="0.25">
      <c r="A162" s="108">
        <f>Données!A162</f>
        <v>5675</v>
      </c>
      <c r="B162" s="116" t="str">
        <f>Données!B162</f>
        <v>Lucens</v>
      </c>
      <c r="C162" s="323">
        <f>Données!C162</f>
        <v>5194</v>
      </c>
      <c r="D162" s="324">
        <f t="shared" si="2"/>
        <v>5177859.5385929141</v>
      </c>
    </row>
    <row r="163" spans="1:4" x14ac:dyDescent="0.25">
      <c r="A163" s="108">
        <f>Données!A163</f>
        <v>5678</v>
      </c>
      <c r="B163" s="116" t="str">
        <f>Données!B163</f>
        <v>Moudon</v>
      </c>
      <c r="C163" s="323">
        <f>Données!C163</f>
        <v>6847</v>
      </c>
      <c r="D163" s="324">
        <f t="shared" si="2"/>
        <v>6825722.8072286649</v>
      </c>
    </row>
    <row r="164" spans="1:4" x14ac:dyDescent="0.25">
      <c r="A164" s="108">
        <f>Données!A164</f>
        <v>5680</v>
      </c>
      <c r="B164" s="116" t="str">
        <f>Données!B164</f>
        <v>Ogens</v>
      </c>
      <c r="C164" s="323">
        <f>Données!C164</f>
        <v>342</v>
      </c>
      <c r="D164" s="324">
        <f t="shared" si="2"/>
        <v>340937.2279936035</v>
      </c>
    </row>
    <row r="165" spans="1:4" x14ac:dyDescent="0.25">
      <c r="A165" s="108">
        <f>Données!A165</f>
        <v>5683</v>
      </c>
      <c r="B165" s="116" t="str">
        <f>Données!B165</f>
        <v>Prévonloup</v>
      </c>
      <c r="C165" s="323">
        <f>Données!C165</f>
        <v>249</v>
      </c>
      <c r="D165" s="324">
        <f t="shared" si="2"/>
        <v>248226.22739885168</v>
      </c>
    </row>
    <row r="166" spans="1:4" x14ac:dyDescent="0.25">
      <c r="A166" s="108">
        <f>Données!A166</f>
        <v>5684</v>
      </c>
      <c r="B166" s="116" t="str">
        <f>Données!B166</f>
        <v>Rossenges</v>
      </c>
      <c r="C166" s="323">
        <f>Données!C166</f>
        <v>82</v>
      </c>
      <c r="D166" s="324">
        <f t="shared" si="2"/>
        <v>81745.183320103766</v>
      </c>
    </row>
    <row r="167" spans="1:4" x14ac:dyDescent="0.25">
      <c r="A167" s="108">
        <f>Données!A167</f>
        <v>5688</v>
      </c>
      <c r="B167" s="116" t="str">
        <f>Données!B167</f>
        <v>Syens</v>
      </c>
      <c r="C167" s="323">
        <f>Données!C167</f>
        <v>144</v>
      </c>
      <c r="D167" s="324">
        <f t="shared" si="2"/>
        <v>143552.51704993832</v>
      </c>
    </row>
    <row r="168" spans="1:4" x14ac:dyDescent="0.25">
      <c r="A168" s="108">
        <f>Données!A168</f>
        <v>5690</v>
      </c>
      <c r="B168" s="116" t="str">
        <f>Données!B168</f>
        <v>Villars-le-Comte</v>
      </c>
      <c r="C168" s="323">
        <f>Données!C168</f>
        <v>129</v>
      </c>
      <c r="D168" s="324">
        <f t="shared" si="2"/>
        <v>128599.12985723642</v>
      </c>
    </row>
    <row r="169" spans="1:4" x14ac:dyDescent="0.25">
      <c r="A169" s="108">
        <f>Données!A169</f>
        <v>5692</v>
      </c>
      <c r="B169" s="116" t="str">
        <f>Données!B169</f>
        <v>Vucherens</v>
      </c>
      <c r="C169" s="323">
        <f>Données!C169</f>
        <v>634</v>
      </c>
      <c r="D169" s="324">
        <f t="shared" si="2"/>
        <v>632029.83201153402</v>
      </c>
    </row>
    <row r="170" spans="1:4" x14ac:dyDescent="0.25">
      <c r="A170" s="108">
        <f>Données!A170</f>
        <v>5693</v>
      </c>
      <c r="B170" s="116" t="str">
        <f>Données!B170</f>
        <v>Montanaire</v>
      </c>
      <c r="C170" s="323">
        <f>Données!C170</f>
        <v>2856</v>
      </c>
      <c r="D170" s="324">
        <f t="shared" si="2"/>
        <v>2847124.9214904434</v>
      </c>
    </row>
    <row r="171" spans="1:4" x14ac:dyDescent="0.25">
      <c r="A171" s="108">
        <f>Données!A171</f>
        <v>5701</v>
      </c>
      <c r="B171" s="116" t="str">
        <f>Données!B171</f>
        <v>Arnex-sur-Nyon</v>
      </c>
      <c r="C171" s="323">
        <f>Données!C171</f>
        <v>274</v>
      </c>
      <c r="D171" s="324">
        <f t="shared" si="2"/>
        <v>273148.53938668821</v>
      </c>
    </row>
    <row r="172" spans="1:4" x14ac:dyDescent="0.25">
      <c r="A172" s="108">
        <f>Données!A172</f>
        <v>5702</v>
      </c>
      <c r="B172" s="116" t="str">
        <f>Données!B172</f>
        <v>Arzier-Le Muids</v>
      </c>
      <c r="C172" s="323">
        <f>Données!C172</f>
        <v>2999</v>
      </c>
      <c r="D172" s="324">
        <f t="shared" si="2"/>
        <v>2989680.5460608681</v>
      </c>
    </row>
    <row r="173" spans="1:4" x14ac:dyDescent="0.25">
      <c r="A173" s="108">
        <f>Données!A173</f>
        <v>5703</v>
      </c>
      <c r="B173" s="116" t="str">
        <f>Données!B173</f>
        <v>Bassins</v>
      </c>
      <c r="C173" s="323">
        <f>Données!C173</f>
        <v>1468</v>
      </c>
      <c r="D173" s="324">
        <f t="shared" si="2"/>
        <v>1463438.15992576</v>
      </c>
    </row>
    <row r="174" spans="1:4" x14ac:dyDescent="0.25">
      <c r="A174" s="108">
        <f>Données!A174</f>
        <v>5704</v>
      </c>
      <c r="B174" s="116" t="str">
        <f>Données!B174</f>
        <v>Begnins</v>
      </c>
      <c r="C174" s="323">
        <f>Données!C174</f>
        <v>2047</v>
      </c>
      <c r="D174" s="324">
        <f t="shared" si="2"/>
        <v>2040638.9055640537</v>
      </c>
    </row>
    <row r="175" spans="1:4" x14ac:dyDescent="0.25">
      <c r="A175" s="108">
        <f>Données!A175</f>
        <v>5705</v>
      </c>
      <c r="B175" s="116" t="str">
        <f>Données!B175</f>
        <v>Bogis-Bossey</v>
      </c>
      <c r="C175" s="323">
        <f>Données!C175</f>
        <v>961</v>
      </c>
      <c r="D175" s="324">
        <f t="shared" si="2"/>
        <v>958013.67281243554</v>
      </c>
    </row>
    <row r="176" spans="1:4" x14ac:dyDescent="0.25">
      <c r="A176" s="108">
        <f>Données!A176</f>
        <v>5706</v>
      </c>
      <c r="B176" s="116" t="str">
        <f>Données!B176</f>
        <v>Borex</v>
      </c>
      <c r="C176" s="323">
        <f>Données!C176</f>
        <v>1168</v>
      </c>
      <c r="D176" s="324">
        <f t="shared" si="2"/>
        <v>1164370.4160717218</v>
      </c>
    </row>
    <row r="177" spans="1:4" x14ac:dyDescent="0.25">
      <c r="A177" s="108">
        <f>Données!A177</f>
        <v>5707</v>
      </c>
      <c r="B177" s="116" t="str">
        <f>Données!B177</f>
        <v>Chavannes-de-Bogis</v>
      </c>
      <c r="C177" s="323">
        <f>Données!C177</f>
        <v>1423</v>
      </c>
      <c r="D177" s="324">
        <f t="shared" si="2"/>
        <v>1418577.9983476545</v>
      </c>
    </row>
    <row r="178" spans="1:4" x14ac:dyDescent="0.25">
      <c r="A178" s="108">
        <f>Données!A178</f>
        <v>5708</v>
      </c>
      <c r="B178" s="116" t="str">
        <f>Données!B178</f>
        <v>Chavannes-des-Bois</v>
      </c>
      <c r="C178" s="323">
        <f>Données!C178</f>
        <v>983</v>
      </c>
      <c r="D178" s="324">
        <f t="shared" si="2"/>
        <v>979945.30736173177</v>
      </c>
    </row>
    <row r="179" spans="1:4" x14ac:dyDescent="0.25">
      <c r="A179" s="108">
        <f>Données!A179</f>
        <v>5709</v>
      </c>
      <c r="B179" s="116" t="str">
        <f>Données!B179</f>
        <v>Chéserex</v>
      </c>
      <c r="C179" s="323">
        <f>Données!C179</f>
        <v>1272</v>
      </c>
      <c r="D179" s="324">
        <f t="shared" si="2"/>
        <v>1268047.2339411217</v>
      </c>
    </row>
    <row r="180" spans="1:4" x14ac:dyDescent="0.25">
      <c r="A180" s="108">
        <f>Données!A180</f>
        <v>5710</v>
      </c>
      <c r="B180" s="116" t="str">
        <f>Données!B180</f>
        <v>Coinsins</v>
      </c>
      <c r="C180" s="323">
        <f>Données!C180</f>
        <v>510</v>
      </c>
      <c r="D180" s="324">
        <f t="shared" si="2"/>
        <v>508415.1645518649</v>
      </c>
    </row>
    <row r="181" spans="1:4" x14ac:dyDescent="0.25">
      <c r="A181" s="108">
        <f>Données!A181</f>
        <v>5711</v>
      </c>
      <c r="B181" s="116" t="str">
        <f>Données!B181</f>
        <v>Commugny</v>
      </c>
      <c r="C181" s="323">
        <f>Données!C181</f>
        <v>2968</v>
      </c>
      <c r="D181" s="324">
        <f t="shared" si="2"/>
        <v>2958776.8791959509</v>
      </c>
    </row>
    <row r="182" spans="1:4" x14ac:dyDescent="0.25">
      <c r="A182" s="108">
        <f>Données!A182</f>
        <v>5712</v>
      </c>
      <c r="B182" s="116" t="str">
        <f>Données!B182</f>
        <v>Coppet</v>
      </c>
      <c r="C182" s="323">
        <f>Données!C182</f>
        <v>3233</v>
      </c>
      <c r="D182" s="324">
        <f t="shared" si="2"/>
        <v>3222953.386267018</v>
      </c>
    </row>
    <row r="183" spans="1:4" x14ac:dyDescent="0.25">
      <c r="A183" s="108">
        <f>Données!A183</f>
        <v>5713</v>
      </c>
      <c r="B183" s="116" t="str">
        <f>Données!B183</f>
        <v>Crans</v>
      </c>
      <c r="C183" s="323">
        <f>Données!C183</f>
        <v>2483</v>
      </c>
      <c r="D183" s="324">
        <f t="shared" si="2"/>
        <v>2475284.0266319225</v>
      </c>
    </row>
    <row r="184" spans="1:4" x14ac:dyDescent="0.25">
      <c r="A184" s="108">
        <f>Données!A184</f>
        <v>5714</v>
      </c>
      <c r="B184" s="116" t="str">
        <f>Données!B184</f>
        <v>Crassier</v>
      </c>
      <c r="C184" s="323">
        <f>Données!C184</f>
        <v>1272</v>
      </c>
      <c r="D184" s="324">
        <f t="shared" si="2"/>
        <v>1268047.2339411217</v>
      </c>
    </row>
    <row r="185" spans="1:4" x14ac:dyDescent="0.25">
      <c r="A185" s="108">
        <f>Données!A185</f>
        <v>5715</v>
      </c>
      <c r="B185" s="116" t="str">
        <f>Données!B185</f>
        <v>Duillier</v>
      </c>
      <c r="C185" s="323">
        <f>Données!C185</f>
        <v>1120</v>
      </c>
      <c r="D185" s="324">
        <f t="shared" si="2"/>
        <v>1116519.5770550759</v>
      </c>
    </row>
    <row r="186" spans="1:4" x14ac:dyDescent="0.25">
      <c r="A186" s="108">
        <f>Données!A186</f>
        <v>5716</v>
      </c>
      <c r="B186" s="116" t="str">
        <f>Données!B186</f>
        <v>Eysins</v>
      </c>
      <c r="C186" s="323">
        <f>Données!C186</f>
        <v>1811</v>
      </c>
      <c r="D186" s="324">
        <f t="shared" si="2"/>
        <v>1805372.2803988771</v>
      </c>
    </row>
    <row r="187" spans="1:4" x14ac:dyDescent="0.25">
      <c r="A187" s="108">
        <f>Données!A187</f>
        <v>5717</v>
      </c>
      <c r="B187" s="116" t="str">
        <f>Données!B187</f>
        <v>Founex</v>
      </c>
      <c r="C187" s="323">
        <f>Données!C187</f>
        <v>3737</v>
      </c>
      <c r="D187" s="324">
        <f t="shared" si="2"/>
        <v>3725387.1959418021</v>
      </c>
    </row>
    <row r="188" spans="1:4" x14ac:dyDescent="0.25">
      <c r="A188" s="108">
        <f>Données!A188</f>
        <v>5718</v>
      </c>
      <c r="B188" s="116" t="str">
        <f>Données!B188</f>
        <v>Genolier</v>
      </c>
      <c r="C188" s="323">
        <f>Données!C188</f>
        <v>2071</v>
      </c>
      <c r="D188" s="324">
        <f t="shared" si="2"/>
        <v>2064564.3250723768</v>
      </c>
    </row>
    <row r="189" spans="1:4" x14ac:dyDescent="0.25">
      <c r="A189" s="108">
        <f>Données!A189</f>
        <v>5719</v>
      </c>
      <c r="B189" s="116" t="str">
        <f>Données!B189</f>
        <v>Gingins</v>
      </c>
      <c r="C189" s="323">
        <f>Données!C189</f>
        <v>1241</v>
      </c>
      <c r="D189" s="324">
        <f t="shared" si="2"/>
        <v>1237143.5670762046</v>
      </c>
    </row>
    <row r="190" spans="1:4" x14ac:dyDescent="0.25">
      <c r="A190" s="108">
        <f>Données!A190</f>
        <v>5720</v>
      </c>
      <c r="B190" s="116" t="str">
        <f>Données!B190</f>
        <v>Givrins</v>
      </c>
      <c r="C190" s="323">
        <f>Données!C190</f>
        <v>1096</v>
      </c>
      <c r="D190" s="324">
        <f t="shared" si="2"/>
        <v>1092594.1575467528</v>
      </c>
    </row>
    <row r="191" spans="1:4" x14ac:dyDescent="0.25">
      <c r="A191" s="108">
        <f>Données!A191</f>
        <v>5721</v>
      </c>
      <c r="B191" s="116" t="str">
        <f>Données!B191</f>
        <v>Gland</v>
      </c>
      <c r="C191" s="323">
        <f>Données!C191</f>
        <v>13978</v>
      </c>
      <c r="D191" s="324">
        <f t="shared" si="2"/>
        <v>13934563.078639152</v>
      </c>
    </row>
    <row r="192" spans="1:4" x14ac:dyDescent="0.25">
      <c r="A192" s="108">
        <f>Données!A192</f>
        <v>5722</v>
      </c>
      <c r="B192" s="116" t="str">
        <f>Données!B192</f>
        <v>Grens</v>
      </c>
      <c r="C192" s="323">
        <f>Données!C192</f>
        <v>413</v>
      </c>
      <c r="D192" s="324">
        <f t="shared" si="2"/>
        <v>411716.59403905919</v>
      </c>
    </row>
    <row r="193" spans="1:4" x14ac:dyDescent="0.25">
      <c r="A193" s="108">
        <f>Données!A193</f>
        <v>5723</v>
      </c>
      <c r="B193" s="116" t="str">
        <f>Données!B193</f>
        <v>Mies</v>
      </c>
      <c r="C193" s="323">
        <f>Données!C193</f>
        <v>2194</v>
      </c>
      <c r="D193" s="324">
        <f t="shared" si="2"/>
        <v>2187182.1000525323</v>
      </c>
    </row>
    <row r="194" spans="1:4" x14ac:dyDescent="0.25">
      <c r="A194" s="108">
        <f>Données!A194</f>
        <v>5724</v>
      </c>
      <c r="B194" s="116" t="str">
        <f>Données!B194</f>
        <v>Nyon</v>
      </c>
      <c r="C194" s="323">
        <f>Données!C194</f>
        <v>23732</v>
      </c>
      <c r="D194" s="324">
        <f t="shared" si="2"/>
        <v>23658252.323813446</v>
      </c>
    </row>
    <row r="195" spans="1:4" x14ac:dyDescent="0.25">
      <c r="A195" s="108">
        <f>Données!A195</f>
        <v>5725</v>
      </c>
      <c r="B195" s="116" t="str">
        <f>Données!B195</f>
        <v>Prangins</v>
      </c>
      <c r="C195" s="323">
        <f>Données!C195</f>
        <v>4243</v>
      </c>
      <c r="D195" s="324">
        <f t="shared" si="2"/>
        <v>4229814.7905756133</v>
      </c>
    </row>
    <row r="196" spans="1:4" x14ac:dyDescent="0.25">
      <c r="A196" s="108">
        <f>Données!A196</f>
        <v>5726</v>
      </c>
      <c r="B196" s="116" t="str">
        <f>Données!B196</f>
        <v>La Rippe</v>
      </c>
      <c r="C196" s="323">
        <f>Données!C196</f>
        <v>1218</v>
      </c>
      <c r="D196" s="324">
        <f t="shared" si="2"/>
        <v>1214215.040047395</v>
      </c>
    </row>
    <row r="197" spans="1:4" x14ac:dyDescent="0.25">
      <c r="A197" s="108">
        <f>Données!A197</f>
        <v>5727</v>
      </c>
      <c r="B197" s="116" t="str">
        <f>Données!B197</f>
        <v>Saint-Cergue</v>
      </c>
      <c r="C197" s="323">
        <f>Données!C197</f>
        <v>3057</v>
      </c>
      <c r="D197" s="324">
        <f t="shared" si="2"/>
        <v>3047500.3098726491</v>
      </c>
    </row>
    <row r="198" spans="1:4" x14ac:dyDescent="0.25">
      <c r="A198" s="108">
        <f>Données!A198</f>
        <v>5728</v>
      </c>
      <c r="B198" s="116" t="str">
        <f>Données!B198</f>
        <v>Signy-Avenex</v>
      </c>
      <c r="C198" s="323">
        <f>Données!C198</f>
        <v>586</v>
      </c>
      <c r="D198" s="324">
        <f t="shared" si="2"/>
        <v>584178.99299488787</v>
      </c>
    </row>
    <row r="199" spans="1:4" x14ac:dyDescent="0.25">
      <c r="A199" s="108">
        <f>Données!A199</f>
        <v>5729</v>
      </c>
      <c r="B199" s="116" t="str">
        <f>Données!B199</f>
        <v>Tannay</v>
      </c>
      <c r="C199" s="323">
        <f>Données!C199</f>
        <v>1732</v>
      </c>
      <c r="D199" s="324">
        <f t="shared" si="2"/>
        <v>1726617.7745173136</v>
      </c>
    </row>
    <row r="200" spans="1:4" x14ac:dyDescent="0.25">
      <c r="A200" s="108">
        <f>Données!A200</f>
        <v>5730</v>
      </c>
      <c r="B200" s="116" t="str">
        <f>Données!B200</f>
        <v>Trélex</v>
      </c>
      <c r="C200" s="323">
        <f>Données!C200</f>
        <v>1427</v>
      </c>
      <c r="D200" s="324">
        <f t="shared" ref="D200:D263" si="3">$D$4/$C$302*C200</f>
        <v>1422565.5682657082</v>
      </c>
    </row>
    <row r="201" spans="1:4" x14ac:dyDescent="0.25">
      <c r="A201" s="108">
        <f>Données!A201</f>
        <v>5731</v>
      </c>
      <c r="B201" s="116" t="str">
        <f>Données!B201</f>
        <v>Le Vaud</v>
      </c>
      <c r="C201" s="323">
        <f>Données!C201</f>
        <v>1374</v>
      </c>
      <c r="D201" s="324">
        <f t="shared" si="3"/>
        <v>1369730.2668514948</v>
      </c>
    </row>
    <row r="202" spans="1:4" x14ac:dyDescent="0.25">
      <c r="A202" s="108">
        <f>Données!A202</f>
        <v>5732</v>
      </c>
      <c r="B202" s="116" t="str">
        <f>Données!B202</f>
        <v>Vich</v>
      </c>
      <c r="C202" s="323">
        <f>Données!C202</f>
        <v>1174</v>
      </c>
      <c r="D202" s="324">
        <f t="shared" si="3"/>
        <v>1170351.7709488026</v>
      </c>
    </row>
    <row r="203" spans="1:4" x14ac:dyDescent="0.25">
      <c r="A203" s="108">
        <f>Données!A203</f>
        <v>5741</v>
      </c>
      <c r="B203" s="116" t="str">
        <f>Données!B203</f>
        <v>L'Abergement</v>
      </c>
      <c r="C203" s="323">
        <f>Données!C203</f>
        <v>267</v>
      </c>
      <c r="D203" s="324">
        <f t="shared" si="3"/>
        <v>266170.29203009396</v>
      </c>
    </row>
    <row r="204" spans="1:4" x14ac:dyDescent="0.25">
      <c r="A204" s="108">
        <f>Données!A204</f>
        <v>5742</v>
      </c>
      <c r="B204" s="116" t="str">
        <f>Données!B204</f>
        <v>Agiez</v>
      </c>
      <c r="C204" s="323">
        <f>Données!C204</f>
        <v>382</v>
      </c>
      <c r="D204" s="324">
        <f t="shared" si="3"/>
        <v>380812.92717414192</v>
      </c>
    </row>
    <row r="205" spans="1:4" x14ac:dyDescent="0.25">
      <c r="A205" s="108">
        <f>Données!A205</f>
        <v>5743</v>
      </c>
      <c r="B205" s="116" t="str">
        <f>Données!B205</f>
        <v>Arnex-sur-Orbe</v>
      </c>
      <c r="C205" s="323">
        <f>Données!C205</f>
        <v>698</v>
      </c>
      <c r="D205" s="324">
        <f t="shared" si="3"/>
        <v>695830.95070039551</v>
      </c>
    </row>
    <row r="206" spans="1:4" x14ac:dyDescent="0.25">
      <c r="A206" s="108">
        <f>Données!A206</f>
        <v>5744</v>
      </c>
      <c r="B206" s="116" t="str">
        <f>Données!B206</f>
        <v>Ballaigues</v>
      </c>
      <c r="C206" s="323">
        <f>Données!C206</f>
        <v>1217</v>
      </c>
      <c r="D206" s="324">
        <f t="shared" si="3"/>
        <v>1213218.1475678815</v>
      </c>
    </row>
    <row r="207" spans="1:4" x14ac:dyDescent="0.25">
      <c r="A207" s="108">
        <f>Données!A207</f>
        <v>5745</v>
      </c>
      <c r="B207" s="116" t="str">
        <f>Données!B207</f>
        <v>Baulmes</v>
      </c>
      <c r="C207" s="323">
        <f>Données!C207</f>
        <v>1189</v>
      </c>
      <c r="D207" s="324">
        <f t="shared" si="3"/>
        <v>1185305.1581415045</v>
      </c>
    </row>
    <row r="208" spans="1:4" x14ac:dyDescent="0.25">
      <c r="A208" s="108">
        <f>Données!A208</f>
        <v>5746</v>
      </c>
      <c r="B208" s="116" t="str">
        <f>Données!B208</f>
        <v>Bavois</v>
      </c>
      <c r="C208" s="323">
        <f>Données!C208</f>
        <v>1055</v>
      </c>
      <c r="D208" s="324">
        <f t="shared" si="3"/>
        <v>1051721.565886701</v>
      </c>
    </row>
    <row r="209" spans="1:4" x14ac:dyDescent="0.25">
      <c r="A209" s="108">
        <f>Données!A209</f>
        <v>5747</v>
      </c>
      <c r="B209" s="116" t="str">
        <f>Données!B209</f>
        <v>Bofflens</v>
      </c>
      <c r="C209" s="323">
        <f>Données!C209</f>
        <v>201</v>
      </c>
      <c r="D209" s="324">
        <f t="shared" si="3"/>
        <v>200375.38838220556</v>
      </c>
    </row>
    <row r="210" spans="1:4" x14ac:dyDescent="0.25">
      <c r="A210" s="108">
        <f>Données!A210</f>
        <v>5748</v>
      </c>
      <c r="B210" s="116" t="str">
        <f>Données!B210</f>
        <v>Bretonnières</v>
      </c>
      <c r="C210" s="323">
        <f>Données!C210</f>
        <v>265</v>
      </c>
      <c r="D210" s="324">
        <f t="shared" si="3"/>
        <v>264176.50707106706</v>
      </c>
    </row>
    <row r="211" spans="1:4" x14ac:dyDescent="0.25">
      <c r="A211" s="108">
        <f>Données!A211</f>
        <v>5749</v>
      </c>
      <c r="B211" s="116" t="str">
        <f>Données!B211</f>
        <v>Chavornay</v>
      </c>
      <c r="C211" s="323">
        <f>Données!C211</f>
        <v>5374</v>
      </c>
      <c r="D211" s="324">
        <f t="shared" si="3"/>
        <v>5357300.1849053372</v>
      </c>
    </row>
    <row r="212" spans="1:4" x14ac:dyDescent="0.25">
      <c r="A212" s="108">
        <f>Données!A212</f>
        <v>5750</v>
      </c>
      <c r="B212" s="116" t="str">
        <f>Données!B212</f>
        <v>Les Clées</v>
      </c>
      <c r="C212" s="323">
        <f>Données!C212</f>
        <v>195</v>
      </c>
      <c r="D212" s="324">
        <f t="shared" si="3"/>
        <v>194394.0335051248</v>
      </c>
    </row>
    <row r="213" spans="1:4" x14ac:dyDescent="0.25">
      <c r="A213" s="108">
        <f>Données!A213</f>
        <v>5752</v>
      </c>
      <c r="B213" s="116" t="str">
        <f>Données!B213</f>
        <v>Croy</v>
      </c>
      <c r="C213" s="323">
        <f>Données!C213</f>
        <v>408</v>
      </c>
      <c r="D213" s="324">
        <f t="shared" si="3"/>
        <v>406732.1316414919</v>
      </c>
    </row>
    <row r="214" spans="1:4" x14ac:dyDescent="0.25">
      <c r="A214" s="108">
        <f>Données!A214</f>
        <v>5754</v>
      </c>
      <c r="B214" s="116" t="str">
        <f>Données!B214</f>
        <v>Juriens</v>
      </c>
      <c r="C214" s="323">
        <f>Données!C214</f>
        <v>345</v>
      </c>
      <c r="D214" s="324">
        <f t="shared" si="3"/>
        <v>343927.90543214389</v>
      </c>
    </row>
    <row r="215" spans="1:4" x14ac:dyDescent="0.25">
      <c r="A215" s="108">
        <f>Données!A215</f>
        <v>5755</v>
      </c>
      <c r="B215" s="116" t="str">
        <f>Données!B215</f>
        <v>Lignerolle</v>
      </c>
      <c r="C215" s="323">
        <f>Données!C215</f>
        <v>452</v>
      </c>
      <c r="D215" s="324">
        <f t="shared" si="3"/>
        <v>450595.40074008418</v>
      </c>
    </row>
    <row r="216" spans="1:4" x14ac:dyDescent="0.25">
      <c r="A216" s="108">
        <f>Données!A216</f>
        <v>5756</v>
      </c>
      <c r="B216" s="116" t="str">
        <f>Données!B216</f>
        <v>Montcherand</v>
      </c>
      <c r="C216" s="323">
        <f>Données!C216</f>
        <v>494</v>
      </c>
      <c r="D216" s="324">
        <f t="shared" si="3"/>
        <v>492464.8848796495</v>
      </c>
    </row>
    <row r="217" spans="1:4" x14ac:dyDescent="0.25">
      <c r="A217" s="108">
        <f>Données!A217</f>
        <v>5757</v>
      </c>
      <c r="B217" s="116" t="str">
        <f>Données!B217</f>
        <v>Orbe</v>
      </c>
      <c r="C217" s="323">
        <f>Données!C217</f>
        <v>8008</v>
      </c>
      <c r="D217" s="324">
        <f t="shared" si="3"/>
        <v>7983114.9759437917</v>
      </c>
    </row>
    <row r="218" spans="1:4" x14ac:dyDescent="0.25">
      <c r="A218" s="108">
        <f>Données!A218</f>
        <v>5758</v>
      </c>
      <c r="B218" s="116" t="str">
        <f>Données!B218</f>
        <v>La Praz</v>
      </c>
      <c r="C218" s="323">
        <f>Données!C218</f>
        <v>214</v>
      </c>
      <c r="D218" s="324">
        <f t="shared" si="3"/>
        <v>213334.99061588055</v>
      </c>
    </row>
    <row r="219" spans="1:4" x14ac:dyDescent="0.25">
      <c r="A219" s="108">
        <f>Données!A219</f>
        <v>5759</v>
      </c>
      <c r="B219" s="116" t="str">
        <f>Données!B219</f>
        <v>Premier</v>
      </c>
      <c r="C219" s="323">
        <f>Données!C219</f>
        <v>233</v>
      </c>
      <c r="D219" s="324">
        <f t="shared" si="3"/>
        <v>232275.94772663631</v>
      </c>
    </row>
    <row r="220" spans="1:4" x14ac:dyDescent="0.25">
      <c r="A220" s="108">
        <f>Données!A220</f>
        <v>5760</v>
      </c>
      <c r="B220" s="116" t="str">
        <f>Données!B220</f>
        <v>Rances</v>
      </c>
      <c r="C220" s="323">
        <f>Données!C220</f>
        <v>513</v>
      </c>
      <c r="D220" s="324">
        <f t="shared" si="3"/>
        <v>511405.84199040529</v>
      </c>
    </row>
    <row r="221" spans="1:4" x14ac:dyDescent="0.25">
      <c r="A221" s="108">
        <f>Données!A221</f>
        <v>5761</v>
      </c>
      <c r="B221" s="116" t="str">
        <f>Données!B221</f>
        <v>Romainmôtier-Envy</v>
      </c>
      <c r="C221" s="323">
        <f>Données!C221</f>
        <v>579</v>
      </c>
      <c r="D221" s="324">
        <f t="shared" si="3"/>
        <v>577200.74563829368</v>
      </c>
    </row>
    <row r="222" spans="1:4" x14ac:dyDescent="0.25">
      <c r="A222" s="108">
        <f>Données!A222</f>
        <v>5762</v>
      </c>
      <c r="B222" s="116" t="str">
        <f>Données!B222</f>
        <v>Sergey</v>
      </c>
      <c r="C222" s="323">
        <f>Données!C222</f>
        <v>165</v>
      </c>
      <c r="D222" s="324">
        <f t="shared" si="3"/>
        <v>164487.25911972098</v>
      </c>
    </row>
    <row r="223" spans="1:4" x14ac:dyDescent="0.25">
      <c r="A223" s="108">
        <f>Données!A223</f>
        <v>5763</v>
      </c>
      <c r="B223" s="116" t="str">
        <f>Données!B223</f>
        <v>Valeyres-sous-Rances</v>
      </c>
      <c r="C223" s="323">
        <f>Données!C223</f>
        <v>573</v>
      </c>
      <c r="D223" s="324">
        <f t="shared" si="3"/>
        <v>571219.39076121291</v>
      </c>
    </row>
    <row r="224" spans="1:4" x14ac:dyDescent="0.25">
      <c r="A224" s="108">
        <f>Données!A224</f>
        <v>5764</v>
      </c>
      <c r="B224" s="116" t="str">
        <f>Données!B224</f>
        <v>Vallorbe</v>
      </c>
      <c r="C224" s="323">
        <f>Données!C224</f>
        <v>4434</v>
      </c>
      <c r="D224" s="324">
        <f t="shared" si="3"/>
        <v>4420221.2541626841</v>
      </c>
    </row>
    <row r="225" spans="1:4" x14ac:dyDescent="0.25">
      <c r="A225" s="108">
        <f>Données!A225</f>
        <v>5765</v>
      </c>
      <c r="B225" s="116" t="str">
        <f>Données!B225</f>
        <v>Vaulion</v>
      </c>
      <c r="C225" s="323">
        <f>Données!C225</f>
        <v>500</v>
      </c>
      <c r="D225" s="324">
        <f t="shared" si="3"/>
        <v>498446.23975673027</v>
      </c>
    </row>
    <row r="226" spans="1:4" x14ac:dyDescent="0.25">
      <c r="A226" s="108">
        <f>Données!A226</f>
        <v>5766</v>
      </c>
      <c r="B226" s="116" t="str">
        <f>Données!B226</f>
        <v>Vuiteboeuf</v>
      </c>
      <c r="C226" s="323">
        <f>Données!C226</f>
        <v>616</v>
      </c>
      <c r="D226" s="324">
        <f t="shared" si="3"/>
        <v>614085.76738029171</v>
      </c>
    </row>
    <row r="227" spans="1:4" x14ac:dyDescent="0.25">
      <c r="A227" s="108">
        <f>Données!A227</f>
        <v>5785</v>
      </c>
      <c r="B227" s="116" t="str">
        <f>Données!B227</f>
        <v>Corcelles-le-Jorat</v>
      </c>
      <c r="C227" s="323">
        <f>Données!C227</f>
        <v>495</v>
      </c>
      <c r="D227" s="324">
        <f t="shared" si="3"/>
        <v>493461.77735916298</v>
      </c>
    </row>
    <row r="228" spans="1:4" x14ac:dyDescent="0.25">
      <c r="A228" s="108">
        <f>Données!A228</f>
        <v>5790</v>
      </c>
      <c r="B228" s="116" t="str">
        <f>Données!B228</f>
        <v>Maracon</v>
      </c>
      <c r="C228" s="323">
        <f>Données!C228</f>
        <v>565</v>
      </c>
      <c r="D228" s="324">
        <f t="shared" si="3"/>
        <v>563244.25092510518</v>
      </c>
    </row>
    <row r="229" spans="1:4" x14ac:dyDescent="0.25">
      <c r="A229" s="108">
        <f>Données!A229</f>
        <v>5792</v>
      </c>
      <c r="B229" s="116" t="str">
        <f>Données!B229</f>
        <v>Montpreveyres</v>
      </c>
      <c r="C229" s="323">
        <f>Données!C229</f>
        <v>670</v>
      </c>
      <c r="D229" s="324">
        <f t="shared" si="3"/>
        <v>667917.96127401863</v>
      </c>
    </row>
    <row r="230" spans="1:4" x14ac:dyDescent="0.25">
      <c r="A230" s="108">
        <f>Données!A230</f>
        <v>5798</v>
      </c>
      <c r="B230" s="116" t="str">
        <f>Données!B230</f>
        <v>Ropraz</v>
      </c>
      <c r="C230" s="323">
        <f>Données!C230</f>
        <v>535</v>
      </c>
      <c r="D230" s="324">
        <f t="shared" si="3"/>
        <v>533337.47653970146</v>
      </c>
    </row>
    <row r="231" spans="1:4" x14ac:dyDescent="0.25">
      <c r="A231" s="108">
        <f>Données!A231</f>
        <v>5799</v>
      </c>
      <c r="B231" s="116" t="str">
        <f>Données!B231</f>
        <v>Servion</v>
      </c>
      <c r="C231" s="323">
        <f>Données!C231</f>
        <v>2241</v>
      </c>
      <c r="D231" s="324">
        <f t="shared" si="3"/>
        <v>2234036.0465896651</v>
      </c>
    </row>
    <row r="232" spans="1:4" x14ac:dyDescent="0.25">
      <c r="A232" s="108">
        <f>Données!A232</f>
        <v>5803</v>
      </c>
      <c r="B232" s="116" t="str">
        <f>Données!B232</f>
        <v>Vulliens</v>
      </c>
      <c r="C232" s="323">
        <f>Données!C232</f>
        <v>630</v>
      </c>
      <c r="D232" s="324">
        <f t="shared" si="3"/>
        <v>628042.26209348009</v>
      </c>
    </row>
    <row r="233" spans="1:4" x14ac:dyDescent="0.25">
      <c r="A233" s="108">
        <f>Données!A233</f>
        <v>5804</v>
      </c>
      <c r="B233" s="116" t="str">
        <f>Données!B233</f>
        <v>Jorat-Menthue</v>
      </c>
      <c r="C233" s="323">
        <f>Données!C233</f>
        <v>1564</v>
      </c>
      <c r="D233" s="324">
        <f t="shared" si="3"/>
        <v>1559139.8379590523</v>
      </c>
    </row>
    <row r="234" spans="1:4" x14ac:dyDescent="0.25">
      <c r="A234" s="108">
        <f>Données!A234</f>
        <v>5805</v>
      </c>
      <c r="B234" s="116" t="str">
        <f>Données!B234</f>
        <v>Oron</v>
      </c>
      <c r="C234" s="323">
        <f>Données!C234</f>
        <v>6451</v>
      </c>
      <c r="D234" s="324">
        <f t="shared" si="3"/>
        <v>6430953.3853413342</v>
      </c>
    </row>
    <row r="235" spans="1:4" x14ac:dyDescent="0.25">
      <c r="A235" s="108">
        <f>Données!A235</f>
        <v>5806</v>
      </c>
      <c r="B235" s="116" t="str">
        <f>Données!B235</f>
        <v>Jorat-Mézières</v>
      </c>
      <c r="C235" s="323">
        <f>Données!C235</f>
        <v>3209</v>
      </c>
      <c r="D235" s="324">
        <f t="shared" si="3"/>
        <v>3199027.966758695</v>
      </c>
    </row>
    <row r="236" spans="1:4" x14ac:dyDescent="0.25">
      <c r="A236" s="108">
        <f>Données!A236</f>
        <v>5812</v>
      </c>
      <c r="B236" s="116" t="str">
        <f>Données!B236</f>
        <v>Champtauroz</v>
      </c>
      <c r="C236" s="323">
        <f>Données!C236</f>
        <v>184</v>
      </c>
      <c r="D236" s="324">
        <f t="shared" si="3"/>
        <v>183428.21623047674</v>
      </c>
    </row>
    <row r="237" spans="1:4" x14ac:dyDescent="0.25">
      <c r="A237" s="108">
        <f>Données!A237</f>
        <v>5813</v>
      </c>
      <c r="B237" s="116" t="str">
        <f>Données!B237</f>
        <v>Chevroux</v>
      </c>
      <c r="C237" s="323">
        <f>Données!C237</f>
        <v>487</v>
      </c>
      <c r="D237" s="324">
        <f t="shared" si="3"/>
        <v>485486.63752305531</v>
      </c>
    </row>
    <row r="238" spans="1:4" x14ac:dyDescent="0.25">
      <c r="A238" s="108">
        <f>Données!A238</f>
        <v>5816</v>
      </c>
      <c r="B238" s="116" t="str">
        <f>Données!B238</f>
        <v>Corcelles-près-Payerne</v>
      </c>
      <c r="C238" s="323">
        <f>Données!C238</f>
        <v>3129</v>
      </c>
      <c r="D238" s="324">
        <f t="shared" si="3"/>
        <v>3119276.5683976179</v>
      </c>
    </row>
    <row r="239" spans="1:4" x14ac:dyDescent="0.25">
      <c r="A239" s="108">
        <f>Données!A239</f>
        <v>5817</v>
      </c>
      <c r="B239" s="116" t="str">
        <f>Données!B239</f>
        <v>Grandcour</v>
      </c>
      <c r="C239" s="323">
        <f>Données!C239</f>
        <v>970</v>
      </c>
      <c r="D239" s="324">
        <f t="shared" si="3"/>
        <v>966985.7051280567</v>
      </c>
    </row>
    <row r="240" spans="1:4" x14ac:dyDescent="0.25">
      <c r="A240" s="108">
        <f>Données!A240</f>
        <v>5819</v>
      </c>
      <c r="B240" s="116" t="str">
        <f>Données!B240</f>
        <v>Henniez</v>
      </c>
      <c r="C240" s="323">
        <f>Données!C240</f>
        <v>464</v>
      </c>
      <c r="D240" s="324">
        <f t="shared" si="3"/>
        <v>462558.11049424572</v>
      </c>
    </row>
    <row r="241" spans="1:4" x14ac:dyDescent="0.25">
      <c r="A241" s="108">
        <f>Données!A241</f>
        <v>5821</v>
      </c>
      <c r="B241" s="116" t="str">
        <f>Données!B241</f>
        <v>Missy</v>
      </c>
      <c r="C241" s="323">
        <f>Données!C241</f>
        <v>379</v>
      </c>
      <c r="D241" s="324">
        <f t="shared" si="3"/>
        <v>377822.24973560154</v>
      </c>
    </row>
    <row r="242" spans="1:4" x14ac:dyDescent="0.25">
      <c r="A242" s="108">
        <f>Données!A242</f>
        <v>5822</v>
      </c>
      <c r="B242" s="116" t="str">
        <f>Données!B242</f>
        <v>Payerne</v>
      </c>
      <c r="C242" s="323">
        <f>Données!C242</f>
        <v>10972</v>
      </c>
      <c r="D242" s="324">
        <f t="shared" si="3"/>
        <v>10937904.285221688</v>
      </c>
    </row>
    <row r="243" spans="1:4" x14ac:dyDescent="0.25">
      <c r="A243" s="108">
        <f>Données!A243</f>
        <v>5827</v>
      </c>
      <c r="B243" s="116" t="str">
        <f>Données!B243</f>
        <v>Trey</v>
      </c>
      <c r="C243" s="323">
        <f>Données!C243</f>
        <v>305</v>
      </c>
      <c r="D243" s="324">
        <f t="shared" si="3"/>
        <v>304052.20625160547</v>
      </c>
    </row>
    <row r="244" spans="1:4" x14ac:dyDescent="0.25">
      <c r="A244" s="108">
        <f>Données!A244</f>
        <v>5828</v>
      </c>
      <c r="B244" s="116" t="str">
        <f>Données!B244</f>
        <v>Treytorrens (Payerne)</v>
      </c>
      <c r="C244" s="323">
        <f>Données!C244</f>
        <v>108</v>
      </c>
      <c r="D244" s="324">
        <f t="shared" si="3"/>
        <v>107664.38778745374</v>
      </c>
    </row>
    <row r="245" spans="1:4" x14ac:dyDescent="0.25">
      <c r="A245" s="108">
        <f>Données!A245</f>
        <v>5830</v>
      </c>
      <c r="B245" s="116" t="str">
        <f>Données!B245</f>
        <v>Villarzel</v>
      </c>
      <c r="C245" s="323">
        <f>Données!C245</f>
        <v>522</v>
      </c>
      <c r="D245" s="324">
        <f t="shared" si="3"/>
        <v>520377.87430602644</v>
      </c>
    </row>
    <row r="246" spans="1:4" x14ac:dyDescent="0.25">
      <c r="A246" s="108">
        <f>Données!A246</f>
        <v>5831</v>
      </c>
      <c r="B246" s="116" t="str">
        <f>Données!B246</f>
        <v>Valbroye</v>
      </c>
      <c r="C246" s="323">
        <f>Données!C246</f>
        <v>3416</v>
      </c>
      <c r="D246" s="324">
        <f t="shared" si="3"/>
        <v>3405384.7100179815</v>
      </c>
    </row>
    <row r="247" spans="1:4" x14ac:dyDescent="0.25">
      <c r="A247" s="108">
        <f>Données!A247</f>
        <v>5841</v>
      </c>
      <c r="B247" s="116" t="str">
        <f>Données!B247</f>
        <v>Château-d'Oex</v>
      </c>
      <c r="C247" s="323">
        <f>Données!C247</f>
        <v>3689</v>
      </c>
      <c r="D247" s="324">
        <f t="shared" si="3"/>
        <v>3677536.356925156</v>
      </c>
    </row>
    <row r="248" spans="1:4" x14ac:dyDescent="0.25">
      <c r="A248" s="108">
        <f>Données!A248</f>
        <v>5842</v>
      </c>
      <c r="B248" s="116" t="str">
        <f>Données!B248</f>
        <v>Rossinière</v>
      </c>
      <c r="C248" s="323">
        <f>Données!C248</f>
        <v>504</v>
      </c>
      <c r="D248" s="324">
        <f t="shared" si="3"/>
        <v>502433.80967478413</v>
      </c>
    </row>
    <row r="249" spans="1:4" x14ac:dyDescent="0.25">
      <c r="A249" s="108">
        <f>Données!A249</f>
        <v>5843</v>
      </c>
      <c r="B249" s="116" t="str">
        <f>Données!B249</f>
        <v>Rougemont</v>
      </c>
      <c r="C249" s="323">
        <f>Données!C249</f>
        <v>805</v>
      </c>
      <c r="D249" s="324">
        <f t="shared" si="3"/>
        <v>802498.4460083358</v>
      </c>
    </row>
    <row r="250" spans="1:4" x14ac:dyDescent="0.25">
      <c r="A250" s="108">
        <f>Données!A250</f>
        <v>5851</v>
      </c>
      <c r="B250" s="116" t="str">
        <f>Données!B250</f>
        <v>Allaman</v>
      </c>
      <c r="C250" s="323">
        <f>Données!C250</f>
        <v>412</v>
      </c>
      <c r="D250" s="324">
        <f t="shared" si="3"/>
        <v>410719.70155954576</v>
      </c>
    </row>
    <row r="251" spans="1:4" x14ac:dyDescent="0.25">
      <c r="A251" s="108">
        <f>Données!A251</f>
        <v>5852</v>
      </c>
      <c r="B251" s="116" t="str">
        <f>Données!B251</f>
        <v>Bursinel</v>
      </c>
      <c r="C251" s="323">
        <f>Données!C251</f>
        <v>535</v>
      </c>
      <c r="D251" s="324">
        <f t="shared" si="3"/>
        <v>533337.47653970146</v>
      </c>
    </row>
    <row r="252" spans="1:4" x14ac:dyDescent="0.25">
      <c r="A252" s="108">
        <f>Données!A252</f>
        <v>5853</v>
      </c>
      <c r="B252" s="116" t="str">
        <f>Données!B252</f>
        <v>Bursins</v>
      </c>
      <c r="C252" s="323">
        <f>Données!C252</f>
        <v>831</v>
      </c>
      <c r="D252" s="324">
        <f t="shared" si="3"/>
        <v>828417.65047568572</v>
      </c>
    </row>
    <row r="253" spans="1:4" x14ac:dyDescent="0.25">
      <c r="A253" s="108">
        <f>Données!A253</f>
        <v>5854</v>
      </c>
      <c r="B253" s="116" t="str">
        <f>Données!B253</f>
        <v>Burtigny</v>
      </c>
      <c r="C253" s="323">
        <f>Données!C253</f>
        <v>406</v>
      </c>
      <c r="D253" s="324">
        <f t="shared" si="3"/>
        <v>404738.34668246499</v>
      </c>
    </row>
    <row r="254" spans="1:4" x14ac:dyDescent="0.25">
      <c r="A254" s="108">
        <f>Données!A254</f>
        <v>5855</v>
      </c>
      <c r="B254" s="116" t="str">
        <f>Données!B254</f>
        <v>Dully</v>
      </c>
      <c r="C254" s="323">
        <f>Données!C254</f>
        <v>637</v>
      </c>
      <c r="D254" s="324">
        <f t="shared" si="3"/>
        <v>635020.5094500744</v>
      </c>
    </row>
    <row r="255" spans="1:4" x14ac:dyDescent="0.25">
      <c r="A255" s="108">
        <f>Données!A255</f>
        <v>5856</v>
      </c>
      <c r="B255" s="116" t="str">
        <f>Données!B255</f>
        <v>Essertines-sur-Rolle</v>
      </c>
      <c r="C255" s="323">
        <f>Données!C255</f>
        <v>770</v>
      </c>
      <c r="D255" s="324">
        <f t="shared" si="3"/>
        <v>767607.20922536461</v>
      </c>
    </row>
    <row r="256" spans="1:4" x14ac:dyDescent="0.25">
      <c r="A256" s="108">
        <f>Données!A256</f>
        <v>5857</v>
      </c>
      <c r="B256" s="116" t="str">
        <f>Données!B256</f>
        <v>Gilly</v>
      </c>
      <c r="C256" s="323">
        <f>Données!C256</f>
        <v>1429</v>
      </c>
      <c r="D256" s="324">
        <f t="shared" si="3"/>
        <v>1424559.3532247352</v>
      </c>
    </row>
    <row r="257" spans="1:4" x14ac:dyDescent="0.25">
      <c r="A257" s="108">
        <f>Données!A257</f>
        <v>5858</v>
      </c>
      <c r="B257" s="116" t="str">
        <f>Données!B257</f>
        <v>Luins</v>
      </c>
      <c r="C257" s="323">
        <f>Données!C257</f>
        <v>640</v>
      </c>
      <c r="D257" s="324">
        <f t="shared" si="3"/>
        <v>638011.18688861479</v>
      </c>
    </row>
    <row r="258" spans="1:4" x14ac:dyDescent="0.25">
      <c r="A258" s="108">
        <f>Données!A258</f>
        <v>5859</v>
      </c>
      <c r="B258" s="116" t="str">
        <f>Données!B258</f>
        <v>Mont-sur-Rolle</v>
      </c>
      <c r="C258" s="323">
        <f>Données!C258</f>
        <v>2759</v>
      </c>
      <c r="D258" s="324">
        <f t="shared" si="3"/>
        <v>2750426.3509776378</v>
      </c>
    </row>
    <row r="259" spans="1:4" x14ac:dyDescent="0.25">
      <c r="A259" s="108">
        <f>Données!A259</f>
        <v>5860</v>
      </c>
      <c r="B259" s="116" t="str">
        <f>Données!B259</f>
        <v>Perroy</v>
      </c>
      <c r="C259" s="323">
        <f>Données!C259</f>
        <v>1573</v>
      </c>
      <c r="D259" s="324">
        <f t="shared" si="3"/>
        <v>1568111.8702746734</v>
      </c>
    </row>
    <row r="260" spans="1:4" x14ac:dyDescent="0.25">
      <c r="A260" s="108">
        <f>Données!A260</f>
        <v>5861</v>
      </c>
      <c r="B260" s="116" t="str">
        <f>Données!B260</f>
        <v>Rolle</v>
      </c>
      <c r="C260" s="323">
        <f>Données!C260</f>
        <v>6604</v>
      </c>
      <c r="D260" s="324">
        <f t="shared" si="3"/>
        <v>6583477.9347068937</v>
      </c>
    </row>
    <row r="261" spans="1:4" x14ac:dyDescent="0.25">
      <c r="A261" s="108">
        <f>Données!A261</f>
        <v>5862</v>
      </c>
      <c r="B261" s="116" t="str">
        <f>Données!B261</f>
        <v>Tartegnin</v>
      </c>
      <c r="C261" s="323">
        <f>Données!C261</f>
        <v>246</v>
      </c>
      <c r="D261" s="324">
        <f t="shared" si="3"/>
        <v>245235.5499603113</v>
      </c>
    </row>
    <row r="262" spans="1:4" x14ac:dyDescent="0.25">
      <c r="A262" s="108">
        <f>Données!A262</f>
        <v>5863</v>
      </c>
      <c r="B262" s="116" t="str">
        <f>Données!B262</f>
        <v>Vinzel</v>
      </c>
      <c r="C262" s="323">
        <f>Données!C262</f>
        <v>385</v>
      </c>
      <c r="D262" s="324">
        <f t="shared" si="3"/>
        <v>383803.60461268231</v>
      </c>
    </row>
    <row r="263" spans="1:4" x14ac:dyDescent="0.25">
      <c r="A263" s="108">
        <f>Données!A263</f>
        <v>5940</v>
      </c>
      <c r="B263" s="116" t="str">
        <f>Données!B263</f>
        <v>La Vallée de Joux</v>
      </c>
      <c r="C263" s="323">
        <f>Données!C263</f>
        <v>7317</v>
      </c>
      <c r="D263" s="324">
        <f t="shared" si="3"/>
        <v>7294262.2725999905</v>
      </c>
    </row>
    <row r="264" spans="1:4" x14ac:dyDescent="0.25">
      <c r="A264" s="108">
        <f>Données!A264</f>
        <v>5882</v>
      </c>
      <c r="B264" s="116" t="str">
        <f>Données!B264</f>
        <v>Chardonne</v>
      </c>
      <c r="C264" s="323">
        <f>Données!C264</f>
        <v>3384</v>
      </c>
      <c r="D264" s="324">
        <f t="shared" ref="D264:D301" si="4">$D$4/$C$302*C264</f>
        <v>3373484.1506735506</v>
      </c>
    </row>
    <row r="265" spans="1:4" x14ac:dyDescent="0.25">
      <c r="A265" s="108">
        <f>Données!A265</f>
        <v>5883</v>
      </c>
      <c r="B265" s="116" t="str">
        <f>Données!B265</f>
        <v>Corseaux</v>
      </c>
      <c r="C265" s="323">
        <f>Données!C265</f>
        <v>2326</v>
      </c>
      <c r="D265" s="324">
        <f t="shared" si="4"/>
        <v>2318771.9073483092</v>
      </c>
    </row>
    <row r="266" spans="1:4" x14ac:dyDescent="0.25">
      <c r="A266" s="108">
        <f>Données!A266</f>
        <v>5884</v>
      </c>
      <c r="B266" s="116" t="str">
        <f>Données!B266</f>
        <v>Corsier-sur-Vevey</v>
      </c>
      <c r="C266" s="323">
        <f>Données!C266</f>
        <v>3458</v>
      </c>
      <c r="D266" s="324">
        <f t="shared" si="4"/>
        <v>3447254.1941575464</v>
      </c>
    </row>
    <row r="267" spans="1:4" x14ac:dyDescent="0.25">
      <c r="A267" s="108">
        <f>Données!A267</f>
        <v>5885</v>
      </c>
      <c r="B267" s="116" t="str">
        <f>Données!B267</f>
        <v>Jongny</v>
      </c>
      <c r="C267" s="323">
        <f>Données!C267</f>
        <v>1917</v>
      </c>
      <c r="D267" s="324">
        <f t="shared" si="4"/>
        <v>1911042.8832273039</v>
      </c>
    </row>
    <row r="268" spans="1:4" x14ac:dyDescent="0.25">
      <c r="A268" s="108">
        <f>Données!A268</f>
        <v>5886</v>
      </c>
      <c r="B268" s="116" t="str">
        <f>Données!B268</f>
        <v>Montreux</v>
      </c>
      <c r="C268" s="323">
        <f>Données!C268</f>
        <v>27166</v>
      </c>
      <c r="D268" s="324">
        <f t="shared" si="4"/>
        <v>27081581.098462671</v>
      </c>
    </row>
    <row r="269" spans="1:4" x14ac:dyDescent="0.25">
      <c r="A269" s="108">
        <f>Données!A269</f>
        <v>5889</v>
      </c>
      <c r="B269" s="116" t="str">
        <f>Données!B269</f>
        <v>La Tour-de-Peilz</v>
      </c>
      <c r="C269" s="323">
        <f>Données!C269</f>
        <v>13053</v>
      </c>
      <c r="D269" s="324">
        <f t="shared" si="4"/>
        <v>13012437.5350892</v>
      </c>
    </row>
    <row r="270" spans="1:4" x14ac:dyDescent="0.25">
      <c r="A270" s="108">
        <f>Données!A270</f>
        <v>5890</v>
      </c>
      <c r="B270" s="116" t="str">
        <f>Données!B270</f>
        <v>Vevey</v>
      </c>
      <c r="C270" s="323">
        <f>Données!C270</f>
        <v>20179</v>
      </c>
      <c r="D270" s="324">
        <f t="shared" si="4"/>
        <v>20116293.344102122</v>
      </c>
    </row>
    <row r="271" spans="1:4" x14ac:dyDescent="0.25">
      <c r="A271" s="108">
        <f>Données!A271</f>
        <v>5891</v>
      </c>
      <c r="B271" s="116" t="str">
        <f>Données!B271</f>
        <v>Veytaux</v>
      </c>
      <c r="C271" s="323">
        <f>Données!C271</f>
        <v>1008</v>
      </c>
      <c r="D271" s="324">
        <f t="shared" si="4"/>
        <v>1004867.6193495683</v>
      </c>
    </row>
    <row r="272" spans="1:4" x14ac:dyDescent="0.25">
      <c r="A272" s="108">
        <f>Données!A272</f>
        <v>5892</v>
      </c>
      <c r="B272" s="116" t="str">
        <f>Données!B272</f>
        <v>Blonay-Saint-Légier</v>
      </c>
      <c r="C272" s="323">
        <f>Données!C272</f>
        <v>12597</v>
      </c>
      <c r="D272" s="324">
        <f t="shared" si="4"/>
        <v>12557854.564431062</v>
      </c>
    </row>
    <row r="273" spans="1:4" x14ac:dyDescent="0.25">
      <c r="A273" s="108">
        <f>Données!A273</f>
        <v>5902</v>
      </c>
      <c r="B273" s="116" t="str">
        <f>Données!B273</f>
        <v>Belmont-sur-Yverdon</v>
      </c>
      <c r="C273" s="323">
        <f>Données!C273</f>
        <v>457</v>
      </c>
      <c r="D273" s="324">
        <f t="shared" si="4"/>
        <v>455579.86313765147</v>
      </c>
    </row>
    <row r="274" spans="1:4" x14ac:dyDescent="0.25">
      <c r="A274" s="108">
        <f>Données!A274</f>
        <v>5903</v>
      </c>
      <c r="B274" s="116" t="str">
        <f>Données!B274</f>
        <v>Bioley-Magnoux</v>
      </c>
      <c r="C274" s="323">
        <f>Données!C274</f>
        <v>252</v>
      </c>
      <c r="D274" s="324">
        <f t="shared" si="4"/>
        <v>251216.90483739207</v>
      </c>
    </row>
    <row r="275" spans="1:4" x14ac:dyDescent="0.25">
      <c r="A275" s="108">
        <f>Données!A275</f>
        <v>5904</v>
      </c>
      <c r="B275" s="116" t="str">
        <f>Données!B275</f>
        <v>Chamblon</v>
      </c>
      <c r="C275" s="323">
        <f>Données!C275</f>
        <v>558</v>
      </c>
      <c r="D275" s="324">
        <f t="shared" si="4"/>
        <v>556266.00356851099</v>
      </c>
    </row>
    <row r="276" spans="1:4" x14ac:dyDescent="0.25">
      <c r="A276" s="108">
        <f>Données!A276</f>
        <v>5905</v>
      </c>
      <c r="B276" s="116" t="str">
        <f>Données!B276</f>
        <v>Champvent</v>
      </c>
      <c r="C276" s="323">
        <f>Données!C276</f>
        <v>692</v>
      </c>
      <c r="D276" s="324">
        <f t="shared" si="4"/>
        <v>689849.59582331474</v>
      </c>
    </row>
    <row r="277" spans="1:4" x14ac:dyDescent="0.25">
      <c r="A277" s="108">
        <f>Données!A277</f>
        <v>5907</v>
      </c>
      <c r="B277" s="116" t="str">
        <f>Données!B277</f>
        <v>Chavannes-le-Chêne</v>
      </c>
      <c r="C277" s="323">
        <f>Données!C277</f>
        <v>329</v>
      </c>
      <c r="D277" s="324">
        <f t="shared" si="4"/>
        <v>327977.62575992855</v>
      </c>
    </row>
    <row r="278" spans="1:4" x14ac:dyDescent="0.25">
      <c r="A278" s="108">
        <f>Données!A278</f>
        <v>5908</v>
      </c>
      <c r="B278" s="116" t="str">
        <f>Données!B278</f>
        <v>Chêne-Pâquier</v>
      </c>
      <c r="C278" s="323">
        <f>Données!C278</f>
        <v>172</v>
      </c>
      <c r="D278" s="324">
        <f t="shared" si="4"/>
        <v>171465.5064763152</v>
      </c>
    </row>
    <row r="279" spans="1:4" x14ac:dyDescent="0.25">
      <c r="A279" s="108">
        <f>Données!A279</f>
        <v>5909</v>
      </c>
      <c r="B279" s="116" t="str">
        <f>Données!B279</f>
        <v>Cheseaux-Noréaz</v>
      </c>
      <c r="C279" s="323">
        <f>Données!C279</f>
        <v>745</v>
      </c>
      <c r="D279" s="324">
        <f t="shared" si="4"/>
        <v>742684.89723752812</v>
      </c>
    </row>
    <row r="280" spans="1:4" x14ac:dyDescent="0.25">
      <c r="A280" s="108">
        <f>Données!A280</f>
        <v>5910</v>
      </c>
      <c r="B280" s="116" t="str">
        <f>Données!B280</f>
        <v>Cronay</v>
      </c>
      <c r="C280" s="323">
        <f>Données!C280</f>
        <v>432</v>
      </c>
      <c r="D280" s="324">
        <f t="shared" si="4"/>
        <v>430657.55114981497</v>
      </c>
    </row>
    <row r="281" spans="1:4" x14ac:dyDescent="0.25">
      <c r="A281" s="108">
        <f>Données!A281</f>
        <v>5911</v>
      </c>
      <c r="B281" s="116" t="str">
        <f>Données!B281</f>
        <v>Cuarny</v>
      </c>
      <c r="C281" s="323">
        <f>Données!C281</f>
        <v>244</v>
      </c>
      <c r="D281" s="324">
        <f t="shared" si="4"/>
        <v>243241.76500128437</v>
      </c>
    </row>
    <row r="282" spans="1:4" x14ac:dyDescent="0.25">
      <c r="A282" s="108">
        <f>Données!A282</f>
        <v>5912</v>
      </c>
      <c r="B282" s="116" t="str">
        <f>Données!B282</f>
        <v>Démoret</v>
      </c>
      <c r="C282" s="323">
        <f>Données!C282</f>
        <v>181</v>
      </c>
      <c r="D282" s="324">
        <f t="shared" si="4"/>
        <v>180437.53879193636</v>
      </c>
    </row>
    <row r="283" spans="1:4" x14ac:dyDescent="0.25">
      <c r="A283" s="108">
        <f>Données!A283</f>
        <v>5913</v>
      </c>
      <c r="B283" s="116" t="str">
        <f>Données!B283</f>
        <v>Donneloye</v>
      </c>
      <c r="C283" s="323">
        <f>Données!C283</f>
        <v>905</v>
      </c>
      <c r="D283" s="324">
        <f t="shared" si="4"/>
        <v>902187.69395968178</v>
      </c>
    </row>
    <row r="284" spans="1:4" x14ac:dyDescent="0.25">
      <c r="A284" s="108">
        <f>Données!A284</f>
        <v>5914</v>
      </c>
      <c r="B284" s="116" t="str">
        <f>Données!B284</f>
        <v>Ependes</v>
      </c>
      <c r="C284" s="323">
        <f>Données!C284</f>
        <v>376</v>
      </c>
      <c r="D284" s="324">
        <f t="shared" si="4"/>
        <v>374831.57229706115</v>
      </c>
    </row>
    <row r="285" spans="1:4" x14ac:dyDescent="0.25">
      <c r="A285" s="108">
        <f>Données!A285</f>
        <v>5941</v>
      </c>
      <c r="B285" s="116" t="str">
        <f>Données!B285</f>
        <v>Mathod-Suscévaz</v>
      </c>
      <c r="C285" s="323">
        <f>Données!C285</f>
        <v>1003</v>
      </c>
      <c r="D285" s="324">
        <f t="shared" si="4"/>
        <v>999883.15695200092</v>
      </c>
    </row>
    <row r="286" spans="1:4" x14ac:dyDescent="0.25">
      <c r="A286" s="108">
        <f>Données!A286</f>
        <v>5921</v>
      </c>
      <c r="B286" s="116" t="str">
        <f>Données!B286</f>
        <v>Molondin</v>
      </c>
      <c r="C286" s="323">
        <f>Données!C286</f>
        <v>260</v>
      </c>
      <c r="D286" s="324">
        <f t="shared" si="4"/>
        <v>259192.04467349974</v>
      </c>
    </row>
    <row r="287" spans="1:4" x14ac:dyDescent="0.25">
      <c r="A287" s="108">
        <f>Données!A287</f>
        <v>5922</v>
      </c>
      <c r="B287" s="116" t="str">
        <f>Données!B287</f>
        <v>Montagny-près-Yverdon</v>
      </c>
      <c r="C287" s="323">
        <f>Données!C287</f>
        <v>768</v>
      </c>
      <c r="D287" s="324">
        <f t="shared" si="4"/>
        <v>765613.42426633765</v>
      </c>
    </row>
    <row r="288" spans="1:4" x14ac:dyDescent="0.25">
      <c r="A288" s="108">
        <f>Données!A288</f>
        <v>5923</v>
      </c>
      <c r="B288" s="116" t="str">
        <f>Données!B288</f>
        <v>Oppens</v>
      </c>
      <c r="C288" s="323">
        <f>Données!C288</f>
        <v>201</v>
      </c>
      <c r="D288" s="324">
        <f t="shared" si="4"/>
        <v>200375.38838220556</v>
      </c>
    </row>
    <row r="289" spans="1:4" x14ac:dyDescent="0.25">
      <c r="A289" s="108">
        <f>Données!A289</f>
        <v>5924</v>
      </c>
      <c r="B289" s="116" t="str">
        <f>Données!B289</f>
        <v>Orges</v>
      </c>
      <c r="C289" s="323">
        <f>Données!C289</f>
        <v>416</v>
      </c>
      <c r="D289" s="324">
        <f t="shared" si="4"/>
        <v>414707.27147759957</v>
      </c>
    </row>
    <row r="290" spans="1:4" x14ac:dyDescent="0.25">
      <c r="A290" s="108">
        <f>Données!A290</f>
        <v>5925</v>
      </c>
      <c r="B290" s="116" t="str">
        <f>Données!B290</f>
        <v>Orzens</v>
      </c>
      <c r="C290" s="323">
        <f>Données!C290</f>
        <v>216</v>
      </c>
      <c r="D290" s="324">
        <f t="shared" si="4"/>
        <v>215328.77557490749</v>
      </c>
    </row>
    <row r="291" spans="1:4" x14ac:dyDescent="0.25">
      <c r="A291" s="108">
        <f>Données!A291</f>
        <v>5926</v>
      </c>
      <c r="B291" s="116" t="str">
        <f>Données!B291</f>
        <v>Pomy</v>
      </c>
      <c r="C291" s="323">
        <f>Données!C291</f>
        <v>904</v>
      </c>
      <c r="D291" s="324">
        <f t="shared" si="4"/>
        <v>901190.80148016836</v>
      </c>
    </row>
    <row r="292" spans="1:4" x14ac:dyDescent="0.25">
      <c r="A292" s="108">
        <f>Données!A292</f>
        <v>5928</v>
      </c>
      <c r="B292" s="116" t="str">
        <f>Données!B292</f>
        <v>Rovray</v>
      </c>
      <c r="C292" s="323">
        <f>Données!C292</f>
        <v>198</v>
      </c>
      <c r="D292" s="324">
        <f t="shared" si="4"/>
        <v>197384.71094366518</v>
      </c>
    </row>
    <row r="293" spans="1:4" x14ac:dyDescent="0.25">
      <c r="A293" s="108">
        <f>Données!A293</f>
        <v>5929</v>
      </c>
      <c r="B293" s="116" t="str">
        <f>Données!B293</f>
        <v>Suchy</v>
      </c>
      <c r="C293" s="323">
        <f>Données!C293</f>
        <v>672</v>
      </c>
      <c r="D293" s="324">
        <f t="shared" si="4"/>
        <v>669911.74623304547</v>
      </c>
    </row>
    <row r="294" spans="1:4" x14ac:dyDescent="0.25">
      <c r="A294" s="108">
        <f>Données!A294</f>
        <v>5931</v>
      </c>
      <c r="B294" s="116" t="str">
        <f>Données!B294</f>
        <v>Treycovagnes</v>
      </c>
      <c r="C294" s="323">
        <f>Données!C294</f>
        <v>518</v>
      </c>
      <c r="D294" s="324">
        <f t="shared" si="4"/>
        <v>516390.30438797257</v>
      </c>
    </row>
    <row r="295" spans="1:4" x14ac:dyDescent="0.25">
      <c r="A295" s="108">
        <f>Données!A295</f>
        <v>5932</v>
      </c>
      <c r="B295" s="116" t="str">
        <f>Données!B295</f>
        <v>Ursins</v>
      </c>
      <c r="C295" s="323">
        <f>Données!C295</f>
        <v>227</v>
      </c>
      <c r="D295" s="324">
        <f t="shared" si="4"/>
        <v>226294.59284955554</v>
      </c>
    </row>
    <row r="296" spans="1:4" x14ac:dyDescent="0.25">
      <c r="A296" s="108">
        <f>Données!A296</f>
        <v>5933</v>
      </c>
      <c r="B296" s="116" t="str">
        <f>Données!B296</f>
        <v>Valeyres-sous-Montagny</v>
      </c>
      <c r="C296" s="323">
        <f>Données!C296</f>
        <v>717</v>
      </c>
      <c r="D296" s="324">
        <f t="shared" si="4"/>
        <v>714771.90781115124</v>
      </c>
    </row>
    <row r="297" spans="1:4" x14ac:dyDescent="0.25">
      <c r="A297" s="108">
        <f>Données!A297</f>
        <v>5934</v>
      </c>
      <c r="B297" s="116" t="str">
        <f>Données!B297</f>
        <v>Valeyres-sous-Ursins</v>
      </c>
      <c r="C297" s="323">
        <f>Données!C297</f>
        <v>225</v>
      </c>
      <c r="D297" s="324">
        <f t="shared" si="4"/>
        <v>224300.80789052864</v>
      </c>
    </row>
    <row r="298" spans="1:4" x14ac:dyDescent="0.25">
      <c r="A298" s="108">
        <f>Données!A298</f>
        <v>5935</v>
      </c>
      <c r="B298" s="116" t="str">
        <f>Données!B298</f>
        <v>Villars-Epeney</v>
      </c>
      <c r="C298" s="323">
        <f>Données!C298</f>
        <v>109</v>
      </c>
      <c r="D298" s="324">
        <f t="shared" si="4"/>
        <v>108661.28026696719</v>
      </c>
    </row>
    <row r="299" spans="1:4" x14ac:dyDescent="0.25">
      <c r="A299" s="108">
        <f>Données!A299</f>
        <v>5937</v>
      </c>
      <c r="B299" s="116" t="str">
        <f>Données!B299</f>
        <v>Vugelles-La Mothe</v>
      </c>
      <c r="C299" s="323">
        <f>Données!C299</f>
        <v>142</v>
      </c>
      <c r="D299" s="324">
        <f t="shared" si="4"/>
        <v>141558.73209091139</v>
      </c>
    </row>
    <row r="300" spans="1:4" x14ac:dyDescent="0.25">
      <c r="A300" s="108">
        <f>Données!A300</f>
        <v>5938</v>
      </c>
      <c r="B300" s="116" t="str">
        <f>Données!B300</f>
        <v>Yverdon-les-Bains</v>
      </c>
      <c r="C300" s="323">
        <f>Données!C300</f>
        <v>30600</v>
      </c>
      <c r="D300" s="324">
        <f t="shared" si="4"/>
        <v>30504909.873111892</v>
      </c>
    </row>
    <row r="301" spans="1:4" x14ac:dyDescent="0.25">
      <c r="A301" s="110">
        <f>Données!A301</f>
        <v>5939</v>
      </c>
      <c r="B301" s="117" t="str">
        <f>Données!B301</f>
        <v>Yvonand</v>
      </c>
      <c r="C301" s="325">
        <f>Données!C301</f>
        <v>3536</v>
      </c>
      <c r="D301" s="326">
        <f t="shared" si="4"/>
        <v>3525011.8075595964</v>
      </c>
    </row>
    <row r="302" spans="1:4" x14ac:dyDescent="0.25">
      <c r="A302" s="2"/>
      <c r="C302" s="312">
        <f>SUM(C8:C301)</f>
        <v>864226</v>
      </c>
      <c r="D302" s="326">
        <f>SUM(D8:D301)</f>
        <v>861540399.99999988</v>
      </c>
    </row>
  </sheetData>
  <sheetProtection sheet="1" objects="1" scenarios="1"/>
  <mergeCells count="2">
    <mergeCell ref="A4:C5"/>
    <mergeCell ref="D4:D5"/>
  </mergeCells>
  <hyperlinks>
    <hyperlink ref="E1" location="'Charges des villes'!A1" display="← Précédent" xr:uid="{F025B369-4AD9-4764-B2C3-5679FA2C3B31}"/>
    <hyperlink ref="F1" location="'Table des matières'!A1" display="Table des matières" xr:uid="{A9BB53F1-1BDF-4BDF-BF24-B3BB569F45F0}"/>
    <hyperlink ref="G1" location="Police!A1" display="Suivant →" xr:uid="{D05B2FB3-DD74-42EB-806E-815737F646A6}"/>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F2EB1-B737-4F1F-8C6C-E600836F3A98}">
  <sheetPr codeName="Feuil12">
    <tabColor rgb="FFFFE6FF"/>
    <pageSetUpPr autoPageBreaks="0"/>
  </sheetPr>
  <dimension ref="A1:U305"/>
  <sheetViews>
    <sheetView zoomScale="90" zoomScaleNormal="90" workbookViewId="0">
      <pane ySplit="7" topLeftCell="A8" activePane="bottomLeft" state="frozen"/>
      <selection pane="bottomLeft"/>
    </sheetView>
  </sheetViews>
  <sheetFormatPr baseColWidth="10" defaultRowHeight="15" x14ac:dyDescent="0.25"/>
  <cols>
    <col min="1" max="1" width="7.140625" style="1" customWidth="1"/>
    <col min="2" max="2" width="23.28515625" style="1" bestFit="1" customWidth="1"/>
    <col min="3" max="3" width="12.85546875" style="1" customWidth="1"/>
    <col min="4" max="11" width="11.42578125" style="4" customWidth="1"/>
    <col min="12" max="12" width="10.7109375" style="1" bestFit="1" customWidth="1"/>
    <col min="13" max="13" width="11.85546875" style="1" customWidth="1"/>
    <col min="14" max="14" width="16" style="1" customWidth="1"/>
    <col min="15" max="15" width="14.28515625" style="1" bestFit="1" customWidth="1"/>
    <col min="16" max="16" width="15.7109375" style="1" customWidth="1"/>
    <col min="17" max="17" width="15.5703125" style="1" bestFit="1" customWidth="1"/>
    <col min="18" max="18" width="16.140625" style="1" bestFit="1" customWidth="1"/>
    <col min="19" max="19" width="21.42578125" style="1" bestFit="1" customWidth="1"/>
    <col min="20" max="20" width="22" style="1" bestFit="1" customWidth="1"/>
    <col min="21" max="21" width="15.5703125" style="1" bestFit="1" customWidth="1"/>
    <col min="22" max="22" width="11" style="1" bestFit="1" customWidth="1"/>
    <col min="23" max="23" width="11.42578125" style="1"/>
    <col min="24" max="25" width="14.7109375" style="1" customWidth="1"/>
    <col min="26" max="16384" width="11.42578125" style="1"/>
  </cols>
  <sheetData>
    <row r="1" spans="1:21" ht="26.25" x14ac:dyDescent="0.4">
      <c r="A1" s="10" t="s">
        <v>33</v>
      </c>
      <c r="C1" s="95" t="s">
        <v>441</v>
      </c>
      <c r="D1" s="97" t="s">
        <v>442</v>
      </c>
      <c r="E1" s="98" t="s">
        <v>443</v>
      </c>
      <c r="F1" s="83"/>
      <c r="M1" s="11"/>
      <c r="O1" s="11"/>
      <c r="P1" s="11"/>
      <c r="Q1" s="15"/>
    </row>
    <row r="2" spans="1:21" ht="15" customHeight="1" x14ac:dyDescent="0.25">
      <c r="A2" s="47" t="str">
        <f>_xlfn.CONCAT(Paramètres!M5," ",Paramètres!N5)</f>
        <v>Décompte prévisionnel 2027</v>
      </c>
      <c r="M2" s="11"/>
      <c r="N2" s="5"/>
      <c r="O2" s="11"/>
      <c r="P2" s="11"/>
      <c r="Q2" s="586" t="s">
        <v>405</v>
      </c>
      <c r="R2" s="587"/>
      <c r="S2" s="588"/>
      <c r="T2" s="213" t="s">
        <v>424</v>
      </c>
      <c r="U2" s="213" t="s">
        <v>21</v>
      </c>
    </row>
    <row r="3" spans="1:21" ht="15" customHeight="1" x14ac:dyDescent="0.25">
      <c r="A3" s="26"/>
      <c r="B3" s="26"/>
      <c r="C3" s="594" t="s">
        <v>50</v>
      </c>
      <c r="D3" s="595"/>
      <c r="E3" s="595"/>
      <c r="F3" s="595"/>
      <c r="G3" s="595"/>
      <c r="H3" s="595"/>
      <c r="I3" s="595"/>
      <c r="J3" s="595"/>
      <c r="K3" s="596"/>
      <c r="L3" s="13"/>
      <c r="M3" s="27"/>
      <c r="N3" s="64"/>
      <c r="O3" s="27"/>
      <c r="P3" s="27"/>
      <c r="Q3" s="591">
        <f>Paramètres!C17</f>
        <v>76514572</v>
      </c>
      <c r="R3" s="592"/>
      <c r="S3" s="593"/>
      <c r="T3" s="69">
        <f>T302</f>
        <v>-71814.613870247413</v>
      </c>
      <c r="U3" s="12">
        <f>U302</f>
        <v>76442757.386129797</v>
      </c>
    </row>
    <row r="4" spans="1:21" ht="15" customHeight="1" x14ac:dyDescent="0.25">
      <c r="C4" s="210" t="s">
        <v>22</v>
      </c>
      <c r="D4" s="160">
        <f>Paramètres!N9</f>
        <v>0</v>
      </c>
      <c r="E4" s="160">
        <f>Paramètres!O9</f>
        <v>1000</v>
      </c>
      <c r="F4" s="160">
        <f>Paramètres!P9</f>
        <v>3000</v>
      </c>
      <c r="G4" s="160">
        <f>Paramètres!Q9</f>
        <v>5000</v>
      </c>
      <c r="H4" s="160">
        <f>Paramètres!R9</f>
        <v>12000</v>
      </c>
      <c r="I4" s="160">
        <f>Paramètres!S9</f>
        <v>15000</v>
      </c>
      <c r="J4" s="160">
        <f>Paramètres!T9</f>
        <v>30000</v>
      </c>
      <c r="K4" s="160">
        <f>Paramètres!U9</f>
        <v>45000</v>
      </c>
      <c r="L4" s="19"/>
      <c r="M4" s="27"/>
      <c r="N4" s="63"/>
      <c r="O4" s="27"/>
      <c r="P4" s="55"/>
      <c r="Q4" s="584">
        <f>Paramètres!C18</f>
        <v>0.35</v>
      </c>
      <c r="R4" s="589">
        <f>1-Paramètres!C18</f>
        <v>0.65</v>
      </c>
      <c r="S4" s="590"/>
      <c r="T4" s="63"/>
    </row>
    <row r="5" spans="1:21" x14ac:dyDescent="0.25">
      <c r="C5" s="211" t="s">
        <v>23</v>
      </c>
      <c r="D5" s="160">
        <f>Paramètres!N10</f>
        <v>1000</v>
      </c>
      <c r="E5" s="160">
        <f>Paramètres!O10</f>
        <v>3000</v>
      </c>
      <c r="F5" s="160">
        <f>Paramètres!P10</f>
        <v>5000</v>
      </c>
      <c r="G5" s="160">
        <f>Paramètres!Q10</f>
        <v>12000</v>
      </c>
      <c r="H5" s="160">
        <f>Paramètres!R10</f>
        <v>15000</v>
      </c>
      <c r="I5" s="160">
        <f>Paramètres!S10</f>
        <v>30000</v>
      </c>
      <c r="J5" s="160">
        <f>Paramètres!T10</f>
        <v>45000</v>
      </c>
      <c r="K5" s="160" t="str">
        <f>Paramètres!U10</f>
        <v/>
      </c>
      <c r="Q5" s="585"/>
      <c r="R5" s="163">
        <f>(1-Paramètres!C18)*Paramètres!C19</f>
        <v>0.32500000000000001</v>
      </c>
      <c r="S5" s="163">
        <f>(1-Paramètres!C18)*Paramètres!C20</f>
        <v>0.32500000000000001</v>
      </c>
      <c r="T5" s="63"/>
    </row>
    <row r="6" spans="1:21" x14ac:dyDescent="0.25">
      <c r="C6" s="212" t="s">
        <v>36</v>
      </c>
      <c r="D6" s="161">
        <f>Paramètres!N13</f>
        <v>2</v>
      </c>
      <c r="E6" s="161">
        <f>Paramètres!O13</f>
        <v>3</v>
      </c>
      <c r="F6" s="161">
        <f>Paramètres!P13</f>
        <v>3.5</v>
      </c>
      <c r="G6" s="161">
        <f>Paramètres!Q13</f>
        <v>4</v>
      </c>
      <c r="H6" s="161">
        <f>Paramètres!R13</f>
        <v>5</v>
      </c>
      <c r="I6" s="161">
        <f>Paramètres!S13</f>
        <v>6</v>
      </c>
      <c r="J6" s="161">
        <f>Paramètres!T13</f>
        <v>7</v>
      </c>
      <c r="K6" s="162">
        <f>Paramètres!U13</f>
        <v>8</v>
      </c>
      <c r="M6" s="597" t="s">
        <v>602</v>
      </c>
      <c r="N6" s="597"/>
      <c r="Q6" s="12">
        <f>Q4*$Q$3</f>
        <v>26780100.199999999</v>
      </c>
      <c r="R6" s="25">
        <f>R5*$Q$3</f>
        <v>24867235.900000002</v>
      </c>
      <c r="S6" s="25">
        <f>S5*$Q$3</f>
        <v>24867235.900000002</v>
      </c>
      <c r="T6" s="14"/>
    </row>
    <row r="7" spans="1:21" ht="37.5" customHeight="1" x14ac:dyDescent="0.25">
      <c r="A7" s="144" t="s">
        <v>0</v>
      </c>
      <c r="B7" s="144" t="s">
        <v>1</v>
      </c>
      <c r="C7" s="72" t="s">
        <v>29</v>
      </c>
      <c r="D7" s="576" t="s">
        <v>49</v>
      </c>
      <c r="E7" s="577"/>
      <c r="F7" s="577"/>
      <c r="G7" s="577"/>
      <c r="H7" s="577"/>
      <c r="I7" s="577"/>
      <c r="J7" s="577"/>
      <c r="K7" s="578"/>
      <c r="L7" s="213" t="s">
        <v>60</v>
      </c>
      <c r="M7" s="213" t="str">
        <f>_xlfn.CONCAT("Avec police en ",Paramètres!N5)</f>
        <v>Avec police en 2027</v>
      </c>
      <c r="N7" s="209" t="s">
        <v>518</v>
      </c>
      <c r="O7" s="213" t="s">
        <v>61</v>
      </c>
      <c r="P7" s="213" t="s">
        <v>514</v>
      </c>
      <c r="Q7" s="213" t="s">
        <v>62</v>
      </c>
      <c r="R7" s="213" t="s">
        <v>63</v>
      </c>
      <c r="S7" s="213" t="s">
        <v>64</v>
      </c>
      <c r="T7" s="209" t="s">
        <v>421</v>
      </c>
      <c r="U7" s="209" t="s">
        <v>21</v>
      </c>
    </row>
    <row r="8" spans="1:21" x14ac:dyDescent="0.25">
      <c r="A8" s="108">
        <f>Données!A8</f>
        <v>5401</v>
      </c>
      <c r="B8" s="109" t="str">
        <f>Données!B8</f>
        <v>Aigle</v>
      </c>
      <c r="C8" s="304">
        <f>Données!C8</f>
        <v>12081</v>
      </c>
      <c r="D8" s="295">
        <f t="shared" ref="D8" si="0">IF(C8&gt;$D$5,$D$5-$D$4,C8)</f>
        <v>1000</v>
      </c>
      <c r="E8" s="295">
        <f t="shared" ref="E8:J23" si="1">IF($C8&lt;E$4,0,IF($C8&gt;E$5,E$5-E$4,$C8-E$4))</f>
        <v>2000</v>
      </c>
      <c r="F8" s="296">
        <f t="shared" si="1"/>
        <v>2000</v>
      </c>
      <c r="G8" s="297">
        <f t="shared" si="1"/>
        <v>7000</v>
      </c>
      <c r="H8" s="295">
        <f t="shared" si="1"/>
        <v>81</v>
      </c>
      <c r="I8" s="296">
        <f t="shared" si="1"/>
        <v>0</v>
      </c>
      <c r="J8" s="296">
        <f>IF($C8&lt;J$4,0,IF($C8&gt;J$5,J$5-J$4,$C8-J$4))</f>
        <v>0</v>
      </c>
      <c r="K8" s="298">
        <f>IF($C8&lt;K$4,0,$C8-K$4)</f>
        <v>0</v>
      </c>
      <c r="L8" s="305">
        <f>SUMPRODUCT($D$6:$K$6,D8:K8)</f>
        <v>43405</v>
      </c>
      <c r="M8" s="431">
        <f>Données!AE8</f>
        <v>1</v>
      </c>
      <c r="N8" s="432">
        <v>1</v>
      </c>
      <c r="O8" s="300">
        <f>IF(N8=0,C8,0)</f>
        <v>0</v>
      </c>
      <c r="P8" s="305">
        <f>IF(N8=0,L8,0)</f>
        <v>0</v>
      </c>
      <c r="Q8" s="306">
        <f t="shared" ref="Q8:Q71" si="2">$Q$6/$C$302*C8</f>
        <v>374358.54801429255</v>
      </c>
      <c r="R8" s="305">
        <f t="shared" ref="R8:R71" si="3">$R$6/$O$302*O8</f>
        <v>0</v>
      </c>
      <c r="S8" s="299">
        <f t="shared" ref="S8:S71" si="4">$S$6/$P$302*P8</f>
        <v>0</v>
      </c>
      <c r="T8" s="296">
        <f>IF(M8&gt;N8,(-R8-S8)*(M8-N8),IF(M8&lt;N8,(C8*$R$305+L8*$S$305)*(N8-M8),IF(M8=N8,0,"Erreur")))</f>
        <v>0</v>
      </c>
      <c r="U8" s="427">
        <f>SUM(Q8:T8)</f>
        <v>374358.54801429255</v>
      </c>
    </row>
    <row r="9" spans="1:21" x14ac:dyDescent="0.25">
      <c r="A9" s="108">
        <f>Données!A9</f>
        <v>5402</v>
      </c>
      <c r="B9" s="109" t="str">
        <f>Données!B9</f>
        <v>Bex</v>
      </c>
      <c r="C9" s="304">
        <f>Données!C9</f>
        <v>8923</v>
      </c>
      <c r="D9" s="300">
        <f t="shared" ref="D9:D70" si="5">IF(C9&gt;$D$5,$D$5-$D$4,C9)</f>
        <v>1000</v>
      </c>
      <c r="E9" s="300">
        <f t="shared" si="1"/>
        <v>2000</v>
      </c>
      <c r="F9" s="305">
        <f t="shared" si="1"/>
        <v>2000</v>
      </c>
      <c r="G9" s="299">
        <f t="shared" si="1"/>
        <v>3923</v>
      </c>
      <c r="H9" s="300">
        <f t="shared" si="1"/>
        <v>0</v>
      </c>
      <c r="I9" s="305">
        <f t="shared" si="1"/>
        <v>0</v>
      </c>
      <c r="J9" s="305">
        <f t="shared" si="1"/>
        <v>0</v>
      </c>
      <c r="K9" s="306">
        <f t="shared" ref="K9:K70" si="6">IF($C9&lt;K$4,0,$C9-K$4)</f>
        <v>0</v>
      </c>
      <c r="L9" s="305">
        <f t="shared" ref="L9:L70" si="7">SUMPRODUCT($D$6:$K$6,D9:K9)</f>
        <v>30692</v>
      </c>
      <c r="M9" s="431">
        <f>Données!AE9</f>
        <v>1</v>
      </c>
      <c r="N9" s="433">
        <v>1</v>
      </c>
      <c r="O9" s="300">
        <f t="shared" ref="O9:O69" si="8">IF(N9=0,C9,0)</f>
        <v>0</v>
      </c>
      <c r="P9" s="305">
        <f t="shared" ref="P9:P70" si="9">IF(N9=0,L9,0)</f>
        <v>0</v>
      </c>
      <c r="Q9" s="306">
        <f t="shared" si="2"/>
        <v>276500.39929902594</v>
      </c>
      <c r="R9" s="305">
        <f t="shared" si="3"/>
        <v>0</v>
      </c>
      <c r="S9" s="299">
        <f t="shared" si="4"/>
        <v>0</v>
      </c>
      <c r="T9" s="305">
        <f t="shared" ref="T9:T72" si="10">IF(M9&gt;N9,(-R9-S9)*(M9-N9),IF(M9&lt;N9,(C9*$R$305+L9*$S$305)*(N9-M9),IF(M9=N9,0,"Erreur")))</f>
        <v>0</v>
      </c>
      <c r="U9" s="428">
        <f t="shared" ref="U9:U70" si="11">SUM(Q9:T9)</f>
        <v>276500.39929902594</v>
      </c>
    </row>
    <row r="10" spans="1:21" x14ac:dyDescent="0.25">
      <c r="A10" s="108">
        <f>Données!A10</f>
        <v>5403</v>
      </c>
      <c r="B10" s="109" t="str">
        <f>Données!B10</f>
        <v>Chessel</v>
      </c>
      <c r="C10" s="304">
        <f>Données!C10</f>
        <v>525</v>
      </c>
      <c r="D10" s="300">
        <f t="shared" si="5"/>
        <v>525</v>
      </c>
      <c r="E10" s="300">
        <f t="shared" si="1"/>
        <v>0</v>
      </c>
      <c r="F10" s="305">
        <f t="shared" si="1"/>
        <v>0</v>
      </c>
      <c r="G10" s="299">
        <f t="shared" si="1"/>
        <v>0</v>
      </c>
      <c r="H10" s="300">
        <f t="shared" si="1"/>
        <v>0</v>
      </c>
      <c r="I10" s="305">
        <f t="shared" si="1"/>
        <v>0</v>
      </c>
      <c r="J10" s="305">
        <f t="shared" si="1"/>
        <v>0</v>
      </c>
      <c r="K10" s="306">
        <f t="shared" si="6"/>
        <v>0</v>
      </c>
      <c r="L10" s="305">
        <f t="shared" si="7"/>
        <v>1050</v>
      </c>
      <c r="M10" s="431">
        <f>Données!AE10</f>
        <v>0</v>
      </c>
      <c r="N10" s="433">
        <v>0</v>
      </c>
      <c r="O10" s="300">
        <f t="shared" si="8"/>
        <v>525</v>
      </c>
      <c r="P10" s="305">
        <f t="shared" si="9"/>
        <v>1050</v>
      </c>
      <c r="Q10" s="306">
        <f t="shared" si="2"/>
        <v>16268.374944748248</v>
      </c>
      <c r="R10" s="305">
        <f t="shared" si="3"/>
        <v>35643.142223939198</v>
      </c>
      <c r="S10" s="299">
        <f t="shared" si="4"/>
        <v>26342.344470479042</v>
      </c>
      <c r="T10" s="305">
        <f t="shared" si="10"/>
        <v>0</v>
      </c>
      <c r="U10" s="428">
        <f t="shared" si="11"/>
        <v>78253.861639166484</v>
      </c>
    </row>
    <row r="11" spans="1:21" x14ac:dyDescent="0.25">
      <c r="A11" s="108">
        <f>Données!A11</f>
        <v>5404</v>
      </c>
      <c r="B11" s="109" t="str">
        <f>Données!B11</f>
        <v>Corbeyrier</v>
      </c>
      <c r="C11" s="304">
        <f>Données!C11</f>
        <v>456</v>
      </c>
      <c r="D11" s="300">
        <f t="shared" si="5"/>
        <v>456</v>
      </c>
      <c r="E11" s="300">
        <f t="shared" si="1"/>
        <v>0</v>
      </c>
      <c r="F11" s="305">
        <f t="shared" si="1"/>
        <v>0</v>
      </c>
      <c r="G11" s="299">
        <f t="shared" si="1"/>
        <v>0</v>
      </c>
      <c r="H11" s="300">
        <f t="shared" si="1"/>
        <v>0</v>
      </c>
      <c r="I11" s="305">
        <f t="shared" si="1"/>
        <v>0</v>
      </c>
      <c r="J11" s="305">
        <f t="shared" si="1"/>
        <v>0</v>
      </c>
      <c r="K11" s="306">
        <f t="shared" si="6"/>
        <v>0</v>
      </c>
      <c r="L11" s="305">
        <f t="shared" si="7"/>
        <v>912</v>
      </c>
      <c r="M11" s="431">
        <f>Données!AE11</f>
        <v>0</v>
      </c>
      <c r="N11" s="433">
        <v>0</v>
      </c>
      <c r="O11" s="300">
        <f t="shared" si="8"/>
        <v>456</v>
      </c>
      <c r="P11" s="305">
        <f t="shared" si="9"/>
        <v>912</v>
      </c>
      <c r="Q11" s="306">
        <f t="shared" si="2"/>
        <v>14130.245666295621</v>
      </c>
      <c r="R11" s="305">
        <f t="shared" si="3"/>
        <v>30958.614960221472</v>
      </c>
      <c r="S11" s="299">
        <f t="shared" si="4"/>
        <v>22880.207768644654</v>
      </c>
      <c r="T11" s="305">
        <f t="shared" si="10"/>
        <v>0</v>
      </c>
      <c r="U11" s="428">
        <f t="shared" si="11"/>
        <v>67969.068395161754</v>
      </c>
    </row>
    <row r="12" spans="1:21" x14ac:dyDescent="0.25">
      <c r="A12" s="108">
        <f>Données!A12</f>
        <v>5405</v>
      </c>
      <c r="B12" s="109" t="str">
        <f>Données!B12</f>
        <v>Gryon</v>
      </c>
      <c r="C12" s="304">
        <f>Données!C12</f>
        <v>1546</v>
      </c>
      <c r="D12" s="300">
        <f t="shared" si="5"/>
        <v>1000</v>
      </c>
      <c r="E12" s="300">
        <f t="shared" si="1"/>
        <v>546</v>
      </c>
      <c r="F12" s="305">
        <f t="shared" si="1"/>
        <v>0</v>
      </c>
      <c r="G12" s="299">
        <f t="shared" si="1"/>
        <v>0</v>
      </c>
      <c r="H12" s="300">
        <f t="shared" si="1"/>
        <v>0</v>
      </c>
      <c r="I12" s="305">
        <f t="shared" si="1"/>
        <v>0</v>
      </c>
      <c r="J12" s="305">
        <f t="shared" si="1"/>
        <v>0</v>
      </c>
      <c r="K12" s="306">
        <f t="shared" si="6"/>
        <v>0</v>
      </c>
      <c r="L12" s="305">
        <f t="shared" si="7"/>
        <v>3638</v>
      </c>
      <c r="M12" s="431">
        <f>Données!AE12</f>
        <v>0</v>
      </c>
      <c r="N12" s="433">
        <v>0</v>
      </c>
      <c r="O12" s="300">
        <f t="shared" si="8"/>
        <v>1546</v>
      </c>
      <c r="P12" s="305">
        <f t="shared" si="9"/>
        <v>3638</v>
      </c>
      <c r="Q12" s="306">
        <f t="shared" si="2"/>
        <v>47906.4907896777</v>
      </c>
      <c r="R12" s="305">
        <f t="shared" si="3"/>
        <v>104960.56738706667</v>
      </c>
      <c r="S12" s="299">
        <f t="shared" si="4"/>
        <v>91269.951603431196</v>
      </c>
      <c r="T12" s="305">
        <f t="shared" si="10"/>
        <v>0</v>
      </c>
      <c r="U12" s="428">
        <f t="shared" si="11"/>
        <v>244137.00978017558</v>
      </c>
    </row>
    <row r="13" spans="1:21" x14ac:dyDescent="0.25">
      <c r="A13" s="108">
        <f>Données!A13</f>
        <v>5406</v>
      </c>
      <c r="B13" s="109" t="str">
        <f>Données!B13</f>
        <v>Lavey-Morcles</v>
      </c>
      <c r="C13" s="304">
        <f>Données!C13</f>
        <v>1024</v>
      </c>
      <c r="D13" s="300">
        <f t="shared" si="5"/>
        <v>1000</v>
      </c>
      <c r="E13" s="300">
        <f t="shared" si="1"/>
        <v>24</v>
      </c>
      <c r="F13" s="305">
        <f t="shared" si="1"/>
        <v>0</v>
      </c>
      <c r="G13" s="299">
        <f t="shared" si="1"/>
        <v>0</v>
      </c>
      <c r="H13" s="300">
        <f t="shared" si="1"/>
        <v>0</v>
      </c>
      <c r="I13" s="305">
        <f t="shared" si="1"/>
        <v>0</v>
      </c>
      <c r="J13" s="305">
        <f t="shared" si="1"/>
        <v>0</v>
      </c>
      <c r="K13" s="306">
        <f t="shared" si="6"/>
        <v>0</v>
      </c>
      <c r="L13" s="305">
        <f t="shared" si="7"/>
        <v>2072</v>
      </c>
      <c r="M13" s="431">
        <f>Données!AE13</f>
        <v>0</v>
      </c>
      <c r="N13" s="433">
        <v>0</v>
      </c>
      <c r="O13" s="300">
        <f t="shared" si="8"/>
        <v>1024</v>
      </c>
      <c r="P13" s="305">
        <f t="shared" si="9"/>
        <v>2072</v>
      </c>
      <c r="Q13" s="306">
        <f t="shared" si="2"/>
        <v>31731.077987470868</v>
      </c>
      <c r="R13" s="305">
        <f t="shared" si="3"/>
        <v>69521.100261549975</v>
      </c>
      <c r="S13" s="299">
        <f t="shared" si="4"/>
        <v>51982.226421745305</v>
      </c>
      <c r="T13" s="305">
        <f t="shared" si="10"/>
        <v>0</v>
      </c>
      <c r="U13" s="428">
        <f t="shared" si="11"/>
        <v>153234.40467076615</v>
      </c>
    </row>
    <row r="14" spans="1:21" x14ac:dyDescent="0.25">
      <c r="A14" s="108">
        <f>Données!A14</f>
        <v>5407</v>
      </c>
      <c r="B14" s="109" t="str">
        <f>Données!B14</f>
        <v>Leysin</v>
      </c>
      <c r="C14" s="304">
        <f>Données!C14</f>
        <v>3722</v>
      </c>
      <c r="D14" s="300">
        <f t="shared" si="5"/>
        <v>1000</v>
      </c>
      <c r="E14" s="300">
        <f t="shared" si="1"/>
        <v>2000</v>
      </c>
      <c r="F14" s="305">
        <f t="shared" si="1"/>
        <v>722</v>
      </c>
      <c r="G14" s="299">
        <f t="shared" si="1"/>
        <v>0</v>
      </c>
      <c r="H14" s="300">
        <f t="shared" si="1"/>
        <v>0</v>
      </c>
      <c r="I14" s="305">
        <f t="shared" si="1"/>
        <v>0</v>
      </c>
      <c r="J14" s="305">
        <f t="shared" si="1"/>
        <v>0</v>
      </c>
      <c r="K14" s="306">
        <f t="shared" si="6"/>
        <v>0</v>
      </c>
      <c r="L14" s="305">
        <f t="shared" si="7"/>
        <v>10527</v>
      </c>
      <c r="M14" s="431">
        <f>Données!AE14</f>
        <v>0</v>
      </c>
      <c r="N14" s="433">
        <v>0</v>
      </c>
      <c r="O14" s="300">
        <f t="shared" si="8"/>
        <v>3722</v>
      </c>
      <c r="P14" s="305">
        <f t="shared" si="9"/>
        <v>10527</v>
      </c>
      <c r="Q14" s="306">
        <f t="shared" si="2"/>
        <v>115335.0315130533</v>
      </c>
      <c r="R14" s="305">
        <f t="shared" si="3"/>
        <v>252692.90544286036</v>
      </c>
      <c r="S14" s="299">
        <f t="shared" si="4"/>
        <v>264100.81927688845</v>
      </c>
      <c r="T14" s="305">
        <f t="shared" si="10"/>
        <v>0</v>
      </c>
      <c r="U14" s="428">
        <f t="shared" si="11"/>
        <v>632128.75623280206</v>
      </c>
    </row>
    <row r="15" spans="1:21" x14ac:dyDescent="0.25">
      <c r="A15" s="108">
        <f>Données!A15</f>
        <v>5408</v>
      </c>
      <c r="B15" s="109" t="str">
        <f>Données!B15</f>
        <v>Noville</v>
      </c>
      <c r="C15" s="304">
        <f>Données!C15</f>
        <v>1214</v>
      </c>
      <c r="D15" s="300">
        <f t="shared" si="5"/>
        <v>1000</v>
      </c>
      <c r="E15" s="300">
        <f t="shared" si="1"/>
        <v>214</v>
      </c>
      <c r="F15" s="305">
        <f t="shared" si="1"/>
        <v>0</v>
      </c>
      <c r="G15" s="299">
        <f t="shared" si="1"/>
        <v>0</v>
      </c>
      <c r="H15" s="300">
        <f t="shared" si="1"/>
        <v>0</v>
      </c>
      <c r="I15" s="305">
        <f t="shared" si="1"/>
        <v>0</v>
      </c>
      <c r="J15" s="305">
        <f t="shared" si="1"/>
        <v>0</v>
      </c>
      <c r="K15" s="306">
        <f t="shared" si="6"/>
        <v>0</v>
      </c>
      <c r="L15" s="305">
        <f t="shared" si="7"/>
        <v>2642</v>
      </c>
      <c r="M15" s="431">
        <f>Données!AE15</f>
        <v>0</v>
      </c>
      <c r="N15" s="433">
        <v>0</v>
      </c>
      <c r="O15" s="300">
        <f t="shared" si="8"/>
        <v>1214</v>
      </c>
      <c r="P15" s="305">
        <f t="shared" si="9"/>
        <v>2642</v>
      </c>
      <c r="Q15" s="306">
        <f t="shared" si="2"/>
        <v>37618.680348427377</v>
      </c>
      <c r="R15" s="305">
        <f t="shared" si="3"/>
        <v>82420.523161642253</v>
      </c>
      <c r="S15" s="299">
        <f t="shared" si="4"/>
        <v>66282.35627714821</v>
      </c>
      <c r="T15" s="305">
        <f t="shared" si="10"/>
        <v>0</v>
      </c>
      <c r="U15" s="428">
        <f t="shared" si="11"/>
        <v>186321.55978721785</v>
      </c>
    </row>
    <row r="16" spans="1:21" x14ac:dyDescent="0.25">
      <c r="A16" s="108">
        <f>Données!A16</f>
        <v>5409</v>
      </c>
      <c r="B16" s="109" t="str">
        <f>Données!B16</f>
        <v>Ollon</v>
      </c>
      <c r="C16" s="304">
        <f>Données!C16</f>
        <v>8302</v>
      </c>
      <c r="D16" s="300">
        <f t="shared" si="5"/>
        <v>1000</v>
      </c>
      <c r="E16" s="300">
        <f t="shared" si="1"/>
        <v>2000</v>
      </c>
      <c r="F16" s="305">
        <f t="shared" si="1"/>
        <v>2000</v>
      </c>
      <c r="G16" s="299">
        <f t="shared" si="1"/>
        <v>3302</v>
      </c>
      <c r="H16" s="300">
        <f t="shared" si="1"/>
        <v>0</v>
      </c>
      <c r="I16" s="305">
        <f t="shared" si="1"/>
        <v>0</v>
      </c>
      <c r="J16" s="305">
        <f t="shared" si="1"/>
        <v>0</v>
      </c>
      <c r="K16" s="306">
        <f t="shared" si="6"/>
        <v>0</v>
      </c>
      <c r="L16" s="305">
        <f t="shared" si="7"/>
        <v>28208</v>
      </c>
      <c r="M16" s="431">
        <f>Données!AE16</f>
        <v>1</v>
      </c>
      <c r="N16" s="433">
        <v>1</v>
      </c>
      <c r="O16" s="300">
        <f t="shared" si="8"/>
        <v>0</v>
      </c>
      <c r="P16" s="305">
        <f t="shared" si="9"/>
        <v>0</v>
      </c>
      <c r="Q16" s="306">
        <f t="shared" si="2"/>
        <v>257257.2357929523</v>
      </c>
      <c r="R16" s="305">
        <f t="shared" si="3"/>
        <v>0</v>
      </c>
      <c r="S16" s="299">
        <f t="shared" si="4"/>
        <v>0</v>
      </c>
      <c r="T16" s="305">
        <f t="shared" si="10"/>
        <v>0</v>
      </c>
      <c r="U16" s="428">
        <f t="shared" si="11"/>
        <v>257257.2357929523</v>
      </c>
    </row>
    <row r="17" spans="1:21" x14ac:dyDescent="0.25">
      <c r="A17" s="108">
        <f>Données!A17</f>
        <v>5410</v>
      </c>
      <c r="B17" s="109" t="str">
        <f>Données!B17</f>
        <v>Ormont-Dessous</v>
      </c>
      <c r="C17" s="304">
        <f>Données!C17</f>
        <v>1261</v>
      </c>
      <c r="D17" s="300">
        <f t="shared" si="5"/>
        <v>1000</v>
      </c>
      <c r="E17" s="300">
        <f t="shared" si="1"/>
        <v>261</v>
      </c>
      <c r="F17" s="305">
        <f t="shared" si="1"/>
        <v>0</v>
      </c>
      <c r="G17" s="299">
        <f t="shared" si="1"/>
        <v>0</v>
      </c>
      <c r="H17" s="300">
        <f t="shared" si="1"/>
        <v>0</v>
      </c>
      <c r="I17" s="305">
        <f t="shared" si="1"/>
        <v>0</v>
      </c>
      <c r="J17" s="305">
        <f t="shared" si="1"/>
        <v>0</v>
      </c>
      <c r="K17" s="306">
        <f t="shared" si="6"/>
        <v>0</v>
      </c>
      <c r="L17" s="305">
        <f t="shared" si="7"/>
        <v>2783</v>
      </c>
      <c r="M17" s="431">
        <f>Données!AE17</f>
        <v>0</v>
      </c>
      <c r="N17" s="433">
        <v>0</v>
      </c>
      <c r="O17" s="300">
        <f t="shared" si="8"/>
        <v>1261</v>
      </c>
      <c r="P17" s="305">
        <f t="shared" si="9"/>
        <v>2783</v>
      </c>
      <c r="Q17" s="306">
        <f t="shared" si="2"/>
        <v>39075.087248242933</v>
      </c>
      <c r="R17" s="305">
        <f t="shared" si="3"/>
        <v>85611.43303692824</v>
      </c>
      <c r="S17" s="299">
        <f t="shared" si="4"/>
        <v>69819.756820326831</v>
      </c>
      <c r="T17" s="305">
        <f t="shared" si="10"/>
        <v>0</v>
      </c>
      <c r="U17" s="428">
        <f t="shared" si="11"/>
        <v>194506.27710549801</v>
      </c>
    </row>
    <row r="18" spans="1:21" x14ac:dyDescent="0.25">
      <c r="A18" s="108">
        <f>Données!A18</f>
        <v>5411</v>
      </c>
      <c r="B18" s="109" t="str">
        <f>Données!B18</f>
        <v>Ormont-Dessus</v>
      </c>
      <c r="C18" s="304">
        <f>Données!C18</f>
        <v>1440</v>
      </c>
      <c r="D18" s="300">
        <f t="shared" si="5"/>
        <v>1000</v>
      </c>
      <c r="E18" s="300">
        <f t="shared" si="1"/>
        <v>440</v>
      </c>
      <c r="F18" s="305">
        <f t="shared" si="1"/>
        <v>0</v>
      </c>
      <c r="G18" s="299">
        <f t="shared" si="1"/>
        <v>0</v>
      </c>
      <c r="H18" s="300">
        <f t="shared" si="1"/>
        <v>0</v>
      </c>
      <c r="I18" s="305">
        <f t="shared" si="1"/>
        <v>0</v>
      </c>
      <c r="J18" s="305">
        <f t="shared" si="1"/>
        <v>0</v>
      </c>
      <c r="K18" s="306">
        <f t="shared" si="6"/>
        <v>0</v>
      </c>
      <c r="L18" s="305">
        <f t="shared" si="7"/>
        <v>3320</v>
      </c>
      <c r="M18" s="431">
        <f>Données!AE18</f>
        <v>0</v>
      </c>
      <c r="N18" s="433">
        <v>0</v>
      </c>
      <c r="O18" s="300">
        <f t="shared" si="8"/>
        <v>1440</v>
      </c>
      <c r="P18" s="305">
        <f t="shared" si="9"/>
        <v>3320</v>
      </c>
      <c r="Q18" s="306">
        <f t="shared" si="2"/>
        <v>44621.828419880905</v>
      </c>
      <c r="R18" s="305">
        <f t="shared" si="3"/>
        <v>97764.047242804649</v>
      </c>
      <c r="S18" s="299">
        <f t="shared" si="4"/>
        <v>83291.984420943249</v>
      </c>
      <c r="T18" s="305">
        <f t="shared" si="10"/>
        <v>0</v>
      </c>
      <c r="U18" s="428">
        <f t="shared" si="11"/>
        <v>225677.8600836288</v>
      </c>
    </row>
    <row r="19" spans="1:21" x14ac:dyDescent="0.25">
      <c r="A19" s="108">
        <f>Données!A19</f>
        <v>5412</v>
      </c>
      <c r="B19" s="109" t="str">
        <f>Données!B19</f>
        <v>Rennaz</v>
      </c>
      <c r="C19" s="304">
        <f>Données!C19</f>
        <v>935</v>
      </c>
      <c r="D19" s="300">
        <f t="shared" si="5"/>
        <v>935</v>
      </c>
      <c r="E19" s="300">
        <f t="shared" si="1"/>
        <v>0</v>
      </c>
      <c r="F19" s="305">
        <f t="shared" si="1"/>
        <v>0</v>
      </c>
      <c r="G19" s="299">
        <f t="shared" si="1"/>
        <v>0</v>
      </c>
      <c r="H19" s="300">
        <f t="shared" si="1"/>
        <v>0</v>
      </c>
      <c r="I19" s="305">
        <f t="shared" si="1"/>
        <v>0</v>
      </c>
      <c r="J19" s="305">
        <f t="shared" si="1"/>
        <v>0</v>
      </c>
      <c r="K19" s="306">
        <f t="shared" si="6"/>
        <v>0</v>
      </c>
      <c r="L19" s="305">
        <f t="shared" si="7"/>
        <v>1870</v>
      </c>
      <c r="M19" s="431">
        <f>Données!AE19</f>
        <v>0</v>
      </c>
      <c r="N19" s="433">
        <v>0</v>
      </c>
      <c r="O19" s="300">
        <f t="shared" si="8"/>
        <v>935</v>
      </c>
      <c r="P19" s="305">
        <f t="shared" si="9"/>
        <v>1870</v>
      </c>
      <c r="Q19" s="306">
        <f t="shared" si="2"/>
        <v>28973.201092075451</v>
      </c>
      <c r="R19" s="305">
        <f t="shared" si="3"/>
        <v>63478.739008348857</v>
      </c>
      <c r="S19" s="299">
        <f t="shared" si="4"/>
        <v>46914.461104567432</v>
      </c>
      <c r="T19" s="305">
        <f t="shared" si="10"/>
        <v>0</v>
      </c>
      <c r="U19" s="428">
        <f t="shared" si="11"/>
        <v>139366.40120499174</v>
      </c>
    </row>
    <row r="20" spans="1:21" x14ac:dyDescent="0.25">
      <c r="A20" s="108">
        <f>Données!A20</f>
        <v>5413</v>
      </c>
      <c r="B20" s="109" t="str">
        <f>Données!B20</f>
        <v>Roche</v>
      </c>
      <c r="C20" s="304">
        <f>Données!C20</f>
        <v>2035</v>
      </c>
      <c r="D20" s="300">
        <f t="shared" si="5"/>
        <v>1000</v>
      </c>
      <c r="E20" s="300">
        <f t="shared" si="1"/>
        <v>1035</v>
      </c>
      <c r="F20" s="305">
        <f t="shared" si="1"/>
        <v>0</v>
      </c>
      <c r="G20" s="299">
        <f t="shared" si="1"/>
        <v>0</v>
      </c>
      <c r="H20" s="300">
        <f t="shared" si="1"/>
        <v>0</v>
      </c>
      <c r="I20" s="305">
        <f t="shared" si="1"/>
        <v>0</v>
      </c>
      <c r="J20" s="305">
        <f t="shared" si="1"/>
        <v>0</v>
      </c>
      <c r="K20" s="306">
        <f t="shared" si="6"/>
        <v>0</v>
      </c>
      <c r="L20" s="305">
        <f t="shared" si="7"/>
        <v>5105</v>
      </c>
      <c r="M20" s="431">
        <f>Données!AE20</f>
        <v>0</v>
      </c>
      <c r="N20" s="433">
        <v>0</v>
      </c>
      <c r="O20" s="300">
        <f t="shared" si="8"/>
        <v>2035</v>
      </c>
      <c r="P20" s="305">
        <f t="shared" si="9"/>
        <v>5105</v>
      </c>
      <c r="Q20" s="306">
        <f t="shared" si="2"/>
        <v>63059.320023928922</v>
      </c>
      <c r="R20" s="305">
        <f t="shared" si="3"/>
        <v>138159.60842993573</v>
      </c>
      <c r="S20" s="299">
        <f t="shared" si="4"/>
        <v>128073.97002075762</v>
      </c>
      <c r="T20" s="305">
        <f t="shared" si="10"/>
        <v>0</v>
      </c>
      <c r="U20" s="428">
        <f t="shared" si="11"/>
        <v>329292.89847462228</v>
      </c>
    </row>
    <row r="21" spans="1:21" x14ac:dyDescent="0.25">
      <c r="A21" s="108">
        <f>Données!A21</f>
        <v>5414</v>
      </c>
      <c r="B21" s="109" t="str">
        <f>Données!B21</f>
        <v>Villeneuve</v>
      </c>
      <c r="C21" s="304">
        <f>Données!C21</f>
        <v>6073</v>
      </c>
      <c r="D21" s="300">
        <f t="shared" si="5"/>
        <v>1000</v>
      </c>
      <c r="E21" s="300">
        <f t="shared" si="1"/>
        <v>2000</v>
      </c>
      <c r="F21" s="305">
        <f t="shared" si="1"/>
        <v>2000</v>
      </c>
      <c r="G21" s="299">
        <f t="shared" si="1"/>
        <v>1073</v>
      </c>
      <c r="H21" s="300">
        <f t="shared" si="1"/>
        <v>0</v>
      </c>
      <c r="I21" s="305">
        <f t="shared" si="1"/>
        <v>0</v>
      </c>
      <c r="J21" s="305">
        <f t="shared" si="1"/>
        <v>0</v>
      </c>
      <c r="K21" s="306">
        <f t="shared" si="6"/>
        <v>0</v>
      </c>
      <c r="L21" s="305">
        <f t="shared" si="7"/>
        <v>19292</v>
      </c>
      <c r="M21" s="431">
        <f>Données!AE21</f>
        <v>0</v>
      </c>
      <c r="N21" s="433">
        <v>0</v>
      </c>
      <c r="O21" s="300">
        <f t="shared" si="8"/>
        <v>6073</v>
      </c>
      <c r="P21" s="305">
        <f t="shared" si="9"/>
        <v>19292</v>
      </c>
      <c r="Q21" s="306">
        <f t="shared" si="2"/>
        <v>188186.36388467831</v>
      </c>
      <c r="R21" s="305">
        <f t="shared" si="3"/>
        <v>412306.29090663377</v>
      </c>
      <c r="S21" s="299">
        <f t="shared" si="4"/>
        <v>483996.67573760159</v>
      </c>
      <c r="T21" s="305">
        <f t="shared" si="10"/>
        <v>0</v>
      </c>
      <c r="U21" s="428">
        <f t="shared" si="11"/>
        <v>1084489.3305289135</v>
      </c>
    </row>
    <row r="22" spans="1:21" x14ac:dyDescent="0.25">
      <c r="A22" s="108">
        <f>Données!A22</f>
        <v>5415</v>
      </c>
      <c r="B22" s="109" t="str">
        <f>Données!B22</f>
        <v>Yvorne</v>
      </c>
      <c r="C22" s="304">
        <f>Données!C22</f>
        <v>1119</v>
      </c>
      <c r="D22" s="300">
        <f t="shared" si="5"/>
        <v>1000</v>
      </c>
      <c r="E22" s="300">
        <f t="shared" si="1"/>
        <v>119</v>
      </c>
      <c r="F22" s="305">
        <f t="shared" si="1"/>
        <v>0</v>
      </c>
      <c r="G22" s="299">
        <f t="shared" si="1"/>
        <v>0</v>
      </c>
      <c r="H22" s="300">
        <f t="shared" si="1"/>
        <v>0</v>
      </c>
      <c r="I22" s="305">
        <f t="shared" si="1"/>
        <v>0</v>
      </c>
      <c r="J22" s="305">
        <f t="shared" si="1"/>
        <v>0</v>
      </c>
      <c r="K22" s="306">
        <f t="shared" si="6"/>
        <v>0</v>
      </c>
      <c r="L22" s="305">
        <f t="shared" si="7"/>
        <v>2357</v>
      </c>
      <c r="M22" s="431">
        <f>Données!AE22</f>
        <v>0</v>
      </c>
      <c r="N22" s="433">
        <v>0</v>
      </c>
      <c r="O22" s="300">
        <f t="shared" si="8"/>
        <v>1119</v>
      </c>
      <c r="P22" s="305">
        <f t="shared" si="9"/>
        <v>2357</v>
      </c>
      <c r="Q22" s="306">
        <f t="shared" si="2"/>
        <v>34674.879167949119</v>
      </c>
      <c r="R22" s="305">
        <f t="shared" si="3"/>
        <v>75970.811711596121</v>
      </c>
      <c r="S22" s="299">
        <f t="shared" si="4"/>
        <v>59132.291349446765</v>
      </c>
      <c r="T22" s="305">
        <f t="shared" si="10"/>
        <v>0</v>
      </c>
      <c r="U22" s="428">
        <f t="shared" si="11"/>
        <v>169777.98222899198</v>
      </c>
    </row>
    <row r="23" spans="1:21" x14ac:dyDescent="0.25">
      <c r="A23" s="108">
        <f>Données!A23</f>
        <v>5422</v>
      </c>
      <c r="B23" s="109" t="str">
        <f>Données!B23</f>
        <v>Aubonne</v>
      </c>
      <c r="C23" s="304">
        <f>Données!C23</f>
        <v>3896</v>
      </c>
      <c r="D23" s="300">
        <f t="shared" si="5"/>
        <v>1000</v>
      </c>
      <c r="E23" s="300">
        <f t="shared" si="1"/>
        <v>2000</v>
      </c>
      <c r="F23" s="305">
        <f t="shared" si="1"/>
        <v>896</v>
      </c>
      <c r="G23" s="299">
        <f t="shared" si="1"/>
        <v>0</v>
      </c>
      <c r="H23" s="300">
        <f t="shared" si="1"/>
        <v>0</v>
      </c>
      <c r="I23" s="305">
        <f t="shared" si="1"/>
        <v>0</v>
      </c>
      <c r="J23" s="305">
        <f t="shared" si="1"/>
        <v>0</v>
      </c>
      <c r="K23" s="306">
        <f t="shared" si="6"/>
        <v>0</v>
      </c>
      <c r="L23" s="305">
        <f t="shared" si="7"/>
        <v>11136</v>
      </c>
      <c r="M23" s="431">
        <f>Données!AE23</f>
        <v>0</v>
      </c>
      <c r="N23" s="433">
        <v>0</v>
      </c>
      <c r="O23" s="300">
        <f t="shared" si="8"/>
        <v>3896</v>
      </c>
      <c r="P23" s="305">
        <f t="shared" si="9"/>
        <v>11136</v>
      </c>
      <c r="Q23" s="306">
        <f t="shared" si="2"/>
        <v>120726.83578045557</v>
      </c>
      <c r="R23" s="305">
        <f t="shared" si="3"/>
        <v>264506.06115136592</v>
      </c>
      <c r="S23" s="299">
        <f t="shared" si="4"/>
        <v>279379.37906976626</v>
      </c>
      <c r="T23" s="305">
        <f t="shared" si="10"/>
        <v>0</v>
      </c>
      <c r="U23" s="428">
        <f t="shared" si="11"/>
        <v>664612.27600158774</v>
      </c>
    </row>
    <row r="24" spans="1:21" x14ac:dyDescent="0.25">
      <c r="A24" s="108">
        <f>Données!A24</f>
        <v>5423</v>
      </c>
      <c r="B24" s="109" t="str">
        <f>Données!B24</f>
        <v>Ballens</v>
      </c>
      <c r="C24" s="304">
        <f>Données!C24</f>
        <v>580</v>
      </c>
      <c r="D24" s="300">
        <f t="shared" si="5"/>
        <v>580</v>
      </c>
      <c r="E24" s="300">
        <f t="shared" ref="E24:J64" si="12">IF($C24&lt;E$4,0,IF($C24&gt;E$5,E$5-E$4,$C24-E$4))</f>
        <v>0</v>
      </c>
      <c r="F24" s="305">
        <f t="shared" si="12"/>
        <v>0</v>
      </c>
      <c r="G24" s="299">
        <f t="shared" si="12"/>
        <v>0</v>
      </c>
      <c r="H24" s="300">
        <f t="shared" si="12"/>
        <v>0</v>
      </c>
      <c r="I24" s="305">
        <f t="shared" si="12"/>
        <v>0</v>
      </c>
      <c r="J24" s="305">
        <f t="shared" si="12"/>
        <v>0</v>
      </c>
      <c r="K24" s="306">
        <f t="shared" si="6"/>
        <v>0</v>
      </c>
      <c r="L24" s="305">
        <f t="shared" si="7"/>
        <v>1160</v>
      </c>
      <c r="M24" s="431">
        <f>Données!AE24</f>
        <v>0</v>
      </c>
      <c r="N24" s="433">
        <v>0</v>
      </c>
      <c r="O24" s="300">
        <f t="shared" si="8"/>
        <v>580</v>
      </c>
      <c r="P24" s="305">
        <f t="shared" si="9"/>
        <v>1160</v>
      </c>
      <c r="Q24" s="306">
        <f t="shared" si="2"/>
        <v>17972.680891340922</v>
      </c>
      <c r="R24" s="305">
        <f t="shared" si="3"/>
        <v>39377.185695018539</v>
      </c>
      <c r="S24" s="299">
        <f t="shared" si="4"/>
        <v>29102.018653100655</v>
      </c>
      <c r="T24" s="305">
        <f t="shared" si="10"/>
        <v>0</v>
      </c>
      <c r="U24" s="428">
        <f t="shared" si="11"/>
        <v>86451.885239460127</v>
      </c>
    </row>
    <row r="25" spans="1:21" x14ac:dyDescent="0.25">
      <c r="A25" s="108">
        <f>Données!A25</f>
        <v>5424</v>
      </c>
      <c r="B25" s="109" t="str">
        <f>Données!B25</f>
        <v>Berolle</v>
      </c>
      <c r="C25" s="304">
        <f>Données!C25</f>
        <v>300</v>
      </c>
      <c r="D25" s="300">
        <f t="shared" si="5"/>
        <v>300</v>
      </c>
      <c r="E25" s="300">
        <f t="shared" si="12"/>
        <v>0</v>
      </c>
      <c r="F25" s="305">
        <f t="shared" si="12"/>
        <v>0</v>
      </c>
      <c r="G25" s="299">
        <f t="shared" si="12"/>
        <v>0</v>
      </c>
      <c r="H25" s="300">
        <f t="shared" si="12"/>
        <v>0</v>
      </c>
      <c r="I25" s="305">
        <f t="shared" si="12"/>
        <v>0</v>
      </c>
      <c r="J25" s="305">
        <f t="shared" si="12"/>
        <v>0</v>
      </c>
      <c r="K25" s="306">
        <f t="shared" si="6"/>
        <v>0</v>
      </c>
      <c r="L25" s="305">
        <f t="shared" si="7"/>
        <v>600</v>
      </c>
      <c r="M25" s="431">
        <f>Données!AE25</f>
        <v>0</v>
      </c>
      <c r="N25" s="433">
        <v>0</v>
      </c>
      <c r="O25" s="300">
        <f t="shared" si="8"/>
        <v>300</v>
      </c>
      <c r="P25" s="305">
        <f t="shared" si="9"/>
        <v>600</v>
      </c>
      <c r="Q25" s="306">
        <f t="shared" si="2"/>
        <v>9296.2142541418561</v>
      </c>
      <c r="R25" s="305">
        <f t="shared" si="3"/>
        <v>20367.509842250969</v>
      </c>
      <c r="S25" s="299">
        <f t="shared" si="4"/>
        <v>15052.768268845166</v>
      </c>
      <c r="T25" s="305">
        <f t="shared" si="10"/>
        <v>0</v>
      </c>
      <c r="U25" s="428">
        <f t="shared" si="11"/>
        <v>44716.492365237995</v>
      </c>
    </row>
    <row r="26" spans="1:21" x14ac:dyDescent="0.25">
      <c r="A26" s="108">
        <f>Données!A26</f>
        <v>5425</v>
      </c>
      <c r="B26" s="109" t="str">
        <f>Données!B26</f>
        <v>Bière</v>
      </c>
      <c r="C26" s="304">
        <f>Données!C26</f>
        <v>1701</v>
      </c>
      <c r="D26" s="300">
        <f t="shared" si="5"/>
        <v>1000</v>
      </c>
      <c r="E26" s="300">
        <f t="shared" si="12"/>
        <v>701</v>
      </c>
      <c r="F26" s="305">
        <f t="shared" si="12"/>
        <v>0</v>
      </c>
      <c r="G26" s="299">
        <f t="shared" si="12"/>
        <v>0</v>
      </c>
      <c r="H26" s="300">
        <f t="shared" si="12"/>
        <v>0</v>
      </c>
      <c r="I26" s="305">
        <f t="shared" si="12"/>
        <v>0</v>
      </c>
      <c r="J26" s="305">
        <f t="shared" si="12"/>
        <v>0</v>
      </c>
      <c r="K26" s="306">
        <f t="shared" si="6"/>
        <v>0</v>
      </c>
      <c r="L26" s="305">
        <f t="shared" si="7"/>
        <v>4103</v>
      </c>
      <c r="M26" s="431">
        <f>Données!AE26</f>
        <v>0</v>
      </c>
      <c r="N26" s="433">
        <v>0</v>
      </c>
      <c r="O26" s="300">
        <f t="shared" si="8"/>
        <v>1701</v>
      </c>
      <c r="P26" s="305">
        <f t="shared" si="9"/>
        <v>4103</v>
      </c>
      <c r="Q26" s="306">
        <f t="shared" si="2"/>
        <v>52709.534820984321</v>
      </c>
      <c r="R26" s="305">
        <f t="shared" si="3"/>
        <v>115483.780805563</v>
      </c>
      <c r="S26" s="299">
        <f t="shared" si="4"/>
        <v>102935.8470117862</v>
      </c>
      <c r="T26" s="305">
        <f t="shared" si="10"/>
        <v>0</v>
      </c>
      <c r="U26" s="428">
        <f t="shared" si="11"/>
        <v>271129.16263833351</v>
      </c>
    </row>
    <row r="27" spans="1:21" x14ac:dyDescent="0.25">
      <c r="A27" s="108">
        <f>Données!A27</f>
        <v>5426</v>
      </c>
      <c r="B27" s="109" t="str">
        <f>Données!B27</f>
        <v>Bougy-Villars</v>
      </c>
      <c r="C27" s="304">
        <f>Données!C27</f>
        <v>493</v>
      </c>
      <c r="D27" s="300">
        <f t="shared" si="5"/>
        <v>493</v>
      </c>
      <c r="E27" s="300">
        <f t="shared" si="12"/>
        <v>0</v>
      </c>
      <c r="F27" s="305">
        <f t="shared" si="12"/>
        <v>0</v>
      </c>
      <c r="G27" s="299">
        <f t="shared" si="12"/>
        <v>0</v>
      </c>
      <c r="H27" s="300">
        <f t="shared" si="12"/>
        <v>0</v>
      </c>
      <c r="I27" s="305">
        <f t="shared" si="12"/>
        <v>0</v>
      </c>
      <c r="J27" s="305">
        <f t="shared" si="12"/>
        <v>0</v>
      </c>
      <c r="K27" s="306">
        <f t="shared" si="6"/>
        <v>0</v>
      </c>
      <c r="L27" s="305">
        <f t="shared" si="7"/>
        <v>986</v>
      </c>
      <c r="M27" s="431">
        <f>Données!AE27</f>
        <v>0</v>
      </c>
      <c r="N27" s="433">
        <v>0</v>
      </c>
      <c r="O27" s="300">
        <f t="shared" si="8"/>
        <v>493</v>
      </c>
      <c r="P27" s="305">
        <f t="shared" si="9"/>
        <v>986</v>
      </c>
      <c r="Q27" s="306">
        <f t="shared" si="2"/>
        <v>15276.778757639782</v>
      </c>
      <c r="R27" s="305">
        <f t="shared" si="3"/>
        <v>33470.607840765762</v>
      </c>
      <c r="S27" s="299">
        <f t="shared" si="4"/>
        <v>24736.715855135557</v>
      </c>
      <c r="T27" s="305">
        <f t="shared" si="10"/>
        <v>0</v>
      </c>
      <c r="U27" s="428">
        <f t="shared" si="11"/>
        <v>73484.102453541098</v>
      </c>
    </row>
    <row r="28" spans="1:21" x14ac:dyDescent="0.25">
      <c r="A28" s="108">
        <f>Données!A28</f>
        <v>5427</v>
      </c>
      <c r="B28" s="109" t="str">
        <f>Données!B28</f>
        <v>Féchy</v>
      </c>
      <c r="C28" s="304">
        <f>Données!C28</f>
        <v>906</v>
      </c>
      <c r="D28" s="300">
        <f t="shared" si="5"/>
        <v>906</v>
      </c>
      <c r="E28" s="300">
        <f t="shared" si="12"/>
        <v>0</v>
      </c>
      <c r="F28" s="305">
        <f t="shared" si="12"/>
        <v>0</v>
      </c>
      <c r="G28" s="299">
        <f t="shared" si="12"/>
        <v>0</v>
      </c>
      <c r="H28" s="300">
        <f t="shared" si="12"/>
        <v>0</v>
      </c>
      <c r="I28" s="305">
        <f t="shared" si="12"/>
        <v>0</v>
      </c>
      <c r="J28" s="305">
        <f t="shared" si="12"/>
        <v>0</v>
      </c>
      <c r="K28" s="306">
        <f t="shared" si="6"/>
        <v>0</v>
      </c>
      <c r="L28" s="305">
        <f t="shared" si="7"/>
        <v>1812</v>
      </c>
      <c r="M28" s="431">
        <f>Données!AE28</f>
        <v>0</v>
      </c>
      <c r="N28" s="433">
        <v>0</v>
      </c>
      <c r="O28" s="300">
        <f t="shared" si="8"/>
        <v>906</v>
      </c>
      <c r="P28" s="305">
        <f t="shared" si="9"/>
        <v>1812</v>
      </c>
      <c r="Q28" s="306">
        <f t="shared" si="2"/>
        <v>28074.567047508404</v>
      </c>
      <c r="R28" s="305">
        <f t="shared" si="3"/>
        <v>61509.879723597929</v>
      </c>
      <c r="S28" s="299">
        <f t="shared" si="4"/>
        <v>45459.360171912405</v>
      </c>
      <c r="T28" s="305">
        <f t="shared" si="10"/>
        <v>0</v>
      </c>
      <c r="U28" s="428">
        <f t="shared" si="11"/>
        <v>135043.80694301875</v>
      </c>
    </row>
    <row r="29" spans="1:21" x14ac:dyDescent="0.25">
      <c r="A29" s="108">
        <f>Données!A29</f>
        <v>5428</v>
      </c>
      <c r="B29" s="109" t="str">
        <f>Données!B29</f>
        <v>Gimel</v>
      </c>
      <c r="C29" s="304">
        <f>Données!C29</f>
        <v>3343</v>
      </c>
      <c r="D29" s="300">
        <f t="shared" si="5"/>
        <v>1000</v>
      </c>
      <c r="E29" s="300">
        <f t="shared" si="12"/>
        <v>2000</v>
      </c>
      <c r="F29" s="305">
        <f t="shared" si="12"/>
        <v>343</v>
      </c>
      <c r="G29" s="299">
        <f t="shared" si="12"/>
        <v>0</v>
      </c>
      <c r="H29" s="300">
        <f t="shared" si="12"/>
        <v>0</v>
      </c>
      <c r="I29" s="305">
        <f t="shared" si="12"/>
        <v>0</v>
      </c>
      <c r="J29" s="305">
        <f t="shared" si="12"/>
        <v>0</v>
      </c>
      <c r="K29" s="306">
        <f t="shared" si="6"/>
        <v>0</v>
      </c>
      <c r="L29" s="305">
        <f t="shared" si="7"/>
        <v>9200.5</v>
      </c>
      <c r="M29" s="431">
        <f>Données!AE29</f>
        <v>0</v>
      </c>
      <c r="N29" s="433">
        <v>0</v>
      </c>
      <c r="O29" s="300">
        <f t="shared" si="8"/>
        <v>3343</v>
      </c>
      <c r="P29" s="305">
        <f t="shared" si="9"/>
        <v>9200.5</v>
      </c>
      <c r="Q29" s="306">
        <f t="shared" si="2"/>
        <v>103590.81417198741</v>
      </c>
      <c r="R29" s="305">
        <f t="shared" si="3"/>
        <v>226961.95134214996</v>
      </c>
      <c r="S29" s="299">
        <f t="shared" si="4"/>
        <v>230821.65742918325</v>
      </c>
      <c r="T29" s="305">
        <f t="shared" si="10"/>
        <v>0</v>
      </c>
      <c r="U29" s="428">
        <f t="shared" si="11"/>
        <v>561374.42294332059</v>
      </c>
    </row>
    <row r="30" spans="1:21" x14ac:dyDescent="0.25">
      <c r="A30" s="108">
        <f>Données!A30</f>
        <v>5429</v>
      </c>
      <c r="B30" s="109" t="str">
        <f>Données!B30</f>
        <v>Longirod</v>
      </c>
      <c r="C30" s="304">
        <f>Données!C30</f>
        <v>558</v>
      </c>
      <c r="D30" s="300">
        <f t="shared" si="5"/>
        <v>558</v>
      </c>
      <c r="E30" s="300">
        <f t="shared" si="12"/>
        <v>0</v>
      </c>
      <c r="F30" s="305">
        <f t="shared" si="12"/>
        <v>0</v>
      </c>
      <c r="G30" s="299">
        <f t="shared" si="12"/>
        <v>0</v>
      </c>
      <c r="H30" s="300">
        <f t="shared" si="12"/>
        <v>0</v>
      </c>
      <c r="I30" s="305">
        <f t="shared" si="12"/>
        <v>0</v>
      </c>
      <c r="J30" s="305">
        <f t="shared" si="12"/>
        <v>0</v>
      </c>
      <c r="K30" s="306">
        <f t="shared" si="6"/>
        <v>0</v>
      </c>
      <c r="L30" s="305">
        <f t="shared" si="7"/>
        <v>1116</v>
      </c>
      <c r="M30" s="431">
        <f>Données!AE30</f>
        <v>0</v>
      </c>
      <c r="N30" s="433">
        <v>0</v>
      </c>
      <c r="O30" s="300">
        <f t="shared" si="8"/>
        <v>558</v>
      </c>
      <c r="P30" s="305">
        <f t="shared" si="9"/>
        <v>1116</v>
      </c>
      <c r="Q30" s="306">
        <f t="shared" si="2"/>
        <v>17290.958512703852</v>
      </c>
      <c r="R30" s="305">
        <f t="shared" si="3"/>
        <v>37883.5683065868</v>
      </c>
      <c r="S30" s="299">
        <f t="shared" si="4"/>
        <v>27998.14898005201</v>
      </c>
      <c r="T30" s="305">
        <f t="shared" si="10"/>
        <v>0</v>
      </c>
      <c r="U30" s="428">
        <f t="shared" si="11"/>
        <v>83172.675799342658</v>
      </c>
    </row>
    <row r="31" spans="1:21" x14ac:dyDescent="0.25">
      <c r="A31" s="108">
        <f>Données!A31</f>
        <v>5430</v>
      </c>
      <c r="B31" s="109" t="str">
        <f>Données!B31</f>
        <v>Marchissy</v>
      </c>
      <c r="C31" s="304">
        <f>Données!C31</f>
        <v>492</v>
      </c>
      <c r="D31" s="300">
        <f t="shared" si="5"/>
        <v>492</v>
      </c>
      <c r="E31" s="300">
        <f t="shared" si="12"/>
        <v>0</v>
      </c>
      <c r="F31" s="305">
        <f t="shared" si="12"/>
        <v>0</v>
      </c>
      <c r="G31" s="299">
        <f t="shared" si="12"/>
        <v>0</v>
      </c>
      <c r="H31" s="300">
        <f t="shared" si="12"/>
        <v>0</v>
      </c>
      <c r="I31" s="305">
        <f t="shared" si="12"/>
        <v>0</v>
      </c>
      <c r="J31" s="305">
        <f t="shared" si="12"/>
        <v>0</v>
      </c>
      <c r="K31" s="306">
        <f t="shared" si="6"/>
        <v>0</v>
      </c>
      <c r="L31" s="305">
        <f t="shared" si="7"/>
        <v>984</v>
      </c>
      <c r="M31" s="431">
        <f>Données!AE31</f>
        <v>0</v>
      </c>
      <c r="N31" s="433">
        <v>0</v>
      </c>
      <c r="O31" s="300">
        <f t="shared" si="8"/>
        <v>492</v>
      </c>
      <c r="P31" s="305">
        <f t="shared" si="9"/>
        <v>984</v>
      </c>
      <c r="Q31" s="306">
        <f t="shared" si="2"/>
        <v>15245.791376792644</v>
      </c>
      <c r="R31" s="305">
        <f t="shared" si="3"/>
        <v>33402.716141291588</v>
      </c>
      <c r="S31" s="299">
        <f t="shared" si="4"/>
        <v>24686.539960906073</v>
      </c>
      <c r="T31" s="305">
        <f t="shared" si="10"/>
        <v>0</v>
      </c>
      <c r="U31" s="428">
        <f t="shared" si="11"/>
        <v>73335.047478990309</v>
      </c>
    </row>
    <row r="32" spans="1:21" x14ac:dyDescent="0.25">
      <c r="A32" s="108">
        <f>Données!A32</f>
        <v>5431</v>
      </c>
      <c r="B32" s="109" t="str">
        <f>Données!B32</f>
        <v>Mollens</v>
      </c>
      <c r="C32" s="304">
        <f>Données!C32</f>
        <v>320</v>
      </c>
      <c r="D32" s="300">
        <f t="shared" si="5"/>
        <v>320</v>
      </c>
      <c r="E32" s="300">
        <f t="shared" si="12"/>
        <v>0</v>
      </c>
      <c r="F32" s="305">
        <f t="shared" si="12"/>
        <v>0</v>
      </c>
      <c r="G32" s="299">
        <f t="shared" si="12"/>
        <v>0</v>
      </c>
      <c r="H32" s="300">
        <f t="shared" si="12"/>
        <v>0</v>
      </c>
      <c r="I32" s="305">
        <f t="shared" si="12"/>
        <v>0</v>
      </c>
      <c r="J32" s="305">
        <f t="shared" si="12"/>
        <v>0</v>
      </c>
      <c r="K32" s="306">
        <f t="shared" si="6"/>
        <v>0</v>
      </c>
      <c r="L32" s="305">
        <f t="shared" si="7"/>
        <v>640</v>
      </c>
      <c r="M32" s="431">
        <f>Données!AE32</f>
        <v>0</v>
      </c>
      <c r="N32" s="433">
        <v>0</v>
      </c>
      <c r="O32" s="300">
        <f t="shared" si="8"/>
        <v>320</v>
      </c>
      <c r="P32" s="305">
        <f t="shared" si="9"/>
        <v>640</v>
      </c>
      <c r="Q32" s="306">
        <f t="shared" si="2"/>
        <v>9915.9618710846462</v>
      </c>
      <c r="R32" s="305">
        <f t="shared" si="3"/>
        <v>21725.343831734368</v>
      </c>
      <c r="S32" s="299">
        <f t="shared" si="4"/>
        <v>16056.286153434845</v>
      </c>
      <c r="T32" s="305">
        <f t="shared" si="10"/>
        <v>0</v>
      </c>
      <c r="U32" s="428">
        <f t="shared" si="11"/>
        <v>47697.591856253857</v>
      </c>
    </row>
    <row r="33" spans="1:21" x14ac:dyDescent="0.25">
      <c r="A33" s="108">
        <f>Données!A33</f>
        <v>5434</v>
      </c>
      <c r="B33" s="109" t="str">
        <f>Données!B33</f>
        <v>Saint-George</v>
      </c>
      <c r="C33" s="304">
        <f>Données!C33</f>
        <v>1082</v>
      </c>
      <c r="D33" s="300">
        <f t="shared" si="5"/>
        <v>1000</v>
      </c>
      <c r="E33" s="300">
        <f t="shared" si="12"/>
        <v>82</v>
      </c>
      <c r="F33" s="305">
        <f t="shared" si="12"/>
        <v>0</v>
      </c>
      <c r="G33" s="299">
        <f t="shared" si="12"/>
        <v>0</v>
      </c>
      <c r="H33" s="300">
        <f t="shared" si="12"/>
        <v>0</v>
      </c>
      <c r="I33" s="305">
        <f t="shared" si="12"/>
        <v>0</v>
      </c>
      <c r="J33" s="305">
        <f t="shared" si="12"/>
        <v>0</v>
      </c>
      <c r="K33" s="306">
        <f t="shared" si="6"/>
        <v>0</v>
      </c>
      <c r="L33" s="305">
        <f t="shared" si="7"/>
        <v>2246</v>
      </c>
      <c r="M33" s="431">
        <f>Données!AE33</f>
        <v>0</v>
      </c>
      <c r="N33" s="433">
        <v>0</v>
      </c>
      <c r="O33" s="300">
        <f t="shared" si="8"/>
        <v>1082</v>
      </c>
      <c r="P33" s="305">
        <f t="shared" si="9"/>
        <v>2246</v>
      </c>
      <c r="Q33" s="306">
        <f t="shared" si="2"/>
        <v>33528.346076604961</v>
      </c>
      <c r="R33" s="305">
        <f t="shared" si="3"/>
        <v>73458.818831051831</v>
      </c>
      <c r="S33" s="299">
        <f t="shared" si="4"/>
        <v>56347.529219710406</v>
      </c>
      <c r="T33" s="305">
        <f t="shared" si="10"/>
        <v>0</v>
      </c>
      <c r="U33" s="428">
        <f t="shared" si="11"/>
        <v>163334.6941273672</v>
      </c>
    </row>
    <row r="34" spans="1:21" x14ac:dyDescent="0.25">
      <c r="A34" s="108">
        <f>Données!A34</f>
        <v>5435</v>
      </c>
      <c r="B34" s="109" t="str">
        <f>Données!B34</f>
        <v>Saint-Livres</v>
      </c>
      <c r="C34" s="304">
        <f>Données!C34</f>
        <v>708</v>
      </c>
      <c r="D34" s="300">
        <f t="shared" si="5"/>
        <v>708</v>
      </c>
      <c r="E34" s="300">
        <f t="shared" si="12"/>
        <v>0</v>
      </c>
      <c r="F34" s="305">
        <f t="shared" si="12"/>
        <v>0</v>
      </c>
      <c r="G34" s="299">
        <f t="shared" si="12"/>
        <v>0</v>
      </c>
      <c r="H34" s="300">
        <f t="shared" si="12"/>
        <v>0</v>
      </c>
      <c r="I34" s="305">
        <f t="shared" si="12"/>
        <v>0</v>
      </c>
      <c r="J34" s="305">
        <f t="shared" si="12"/>
        <v>0</v>
      </c>
      <c r="K34" s="306">
        <f t="shared" si="6"/>
        <v>0</v>
      </c>
      <c r="L34" s="305">
        <f t="shared" si="7"/>
        <v>1416</v>
      </c>
      <c r="M34" s="431">
        <f>Données!AE34</f>
        <v>0</v>
      </c>
      <c r="N34" s="433">
        <v>0</v>
      </c>
      <c r="O34" s="300">
        <f t="shared" si="8"/>
        <v>708</v>
      </c>
      <c r="P34" s="305">
        <f t="shared" si="9"/>
        <v>1416</v>
      </c>
      <c r="Q34" s="306">
        <f t="shared" si="2"/>
        <v>21939.065639774781</v>
      </c>
      <c r="R34" s="305">
        <f t="shared" si="3"/>
        <v>48067.323227712288</v>
      </c>
      <c r="S34" s="299">
        <f t="shared" si="4"/>
        <v>35524.533114474594</v>
      </c>
      <c r="T34" s="305">
        <f t="shared" si="10"/>
        <v>0</v>
      </c>
      <c r="U34" s="428">
        <f t="shared" si="11"/>
        <v>105530.92198196167</v>
      </c>
    </row>
    <row r="35" spans="1:21" x14ac:dyDescent="0.25">
      <c r="A35" s="108">
        <f>Données!A35</f>
        <v>5451</v>
      </c>
      <c r="B35" s="109" t="str">
        <f>Données!B35</f>
        <v>Avenches</v>
      </c>
      <c r="C35" s="304">
        <f>Données!C35</f>
        <v>4953</v>
      </c>
      <c r="D35" s="300">
        <f t="shared" si="5"/>
        <v>1000</v>
      </c>
      <c r="E35" s="300">
        <f t="shared" si="12"/>
        <v>2000</v>
      </c>
      <c r="F35" s="305">
        <f t="shared" si="12"/>
        <v>1953</v>
      </c>
      <c r="G35" s="299">
        <f t="shared" si="12"/>
        <v>0</v>
      </c>
      <c r="H35" s="300">
        <f t="shared" si="12"/>
        <v>0</v>
      </c>
      <c r="I35" s="305">
        <f t="shared" si="12"/>
        <v>0</v>
      </c>
      <c r="J35" s="305">
        <f t="shared" si="12"/>
        <v>0</v>
      </c>
      <c r="K35" s="306">
        <f t="shared" si="6"/>
        <v>0</v>
      </c>
      <c r="L35" s="305">
        <f t="shared" si="7"/>
        <v>14835.5</v>
      </c>
      <c r="M35" s="431">
        <f>Données!AE35</f>
        <v>0</v>
      </c>
      <c r="N35" s="433">
        <v>0</v>
      </c>
      <c r="O35" s="300">
        <f t="shared" si="8"/>
        <v>4953</v>
      </c>
      <c r="P35" s="305">
        <f t="shared" si="9"/>
        <v>14835.5</v>
      </c>
      <c r="Q35" s="306">
        <f t="shared" si="2"/>
        <v>153480.49733588204</v>
      </c>
      <c r="R35" s="305">
        <f t="shared" si="3"/>
        <v>336267.58749556349</v>
      </c>
      <c r="S35" s="299">
        <f t="shared" si="4"/>
        <v>372192.23942075408</v>
      </c>
      <c r="T35" s="305">
        <f t="shared" si="10"/>
        <v>0</v>
      </c>
      <c r="U35" s="428">
        <f t="shared" si="11"/>
        <v>861940.32425219961</v>
      </c>
    </row>
    <row r="36" spans="1:21" x14ac:dyDescent="0.25">
      <c r="A36" s="108">
        <f>Données!A36</f>
        <v>5456</v>
      </c>
      <c r="B36" s="109" t="str">
        <f>Données!B36</f>
        <v>Cudrefin</v>
      </c>
      <c r="C36" s="304">
        <f>Données!C36</f>
        <v>1915</v>
      </c>
      <c r="D36" s="300">
        <f t="shared" si="5"/>
        <v>1000</v>
      </c>
      <c r="E36" s="300">
        <f t="shared" si="12"/>
        <v>915</v>
      </c>
      <c r="F36" s="305">
        <f t="shared" si="12"/>
        <v>0</v>
      </c>
      <c r="G36" s="299">
        <f t="shared" si="12"/>
        <v>0</v>
      </c>
      <c r="H36" s="300">
        <f t="shared" si="12"/>
        <v>0</v>
      </c>
      <c r="I36" s="305">
        <f t="shared" si="12"/>
        <v>0</v>
      </c>
      <c r="J36" s="305">
        <f t="shared" si="12"/>
        <v>0</v>
      </c>
      <c r="K36" s="306">
        <f t="shared" si="6"/>
        <v>0</v>
      </c>
      <c r="L36" s="305">
        <f t="shared" si="7"/>
        <v>4745</v>
      </c>
      <c r="M36" s="431">
        <f>Données!AE36</f>
        <v>0</v>
      </c>
      <c r="N36" s="433">
        <v>0</v>
      </c>
      <c r="O36" s="300">
        <f t="shared" si="8"/>
        <v>1915</v>
      </c>
      <c r="P36" s="305">
        <f t="shared" si="9"/>
        <v>4745</v>
      </c>
      <c r="Q36" s="306">
        <f t="shared" si="2"/>
        <v>59340.834322272181</v>
      </c>
      <c r="R36" s="305">
        <f t="shared" si="3"/>
        <v>130012.60449303535</v>
      </c>
      <c r="S36" s="299">
        <f t="shared" si="4"/>
        <v>119042.30905945052</v>
      </c>
      <c r="T36" s="305">
        <f t="shared" si="10"/>
        <v>0</v>
      </c>
      <c r="U36" s="428">
        <f t="shared" si="11"/>
        <v>308395.74787475809</v>
      </c>
    </row>
    <row r="37" spans="1:21" x14ac:dyDescent="0.25">
      <c r="A37" s="108">
        <f>Données!A37</f>
        <v>5458</v>
      </c>
      <c r="B37" s="109" t="str">
        <f>Données!B37</f>
        <v>Faoug</v>
      </c>
      <c r="C37" s="304">
        <f>Données!C37</f>
        <v>902</v>
      </c>
      <c r="D37" s="300">
        <f t="shared" si="5"/>
        <v>902</v>
      </c>
      <c r="E37" s="300">
        <f t="shared" si="12"/>
        <v>0</v>
      </c>
      <c r="F37" s="305">
        <f t="shared" si="12"/>
        <v>0</v>
      </c>
      <c r="G37" s="299">
        <f t="shared" si="12"/>
        <v>0</v>
      </c>
      <c r="H37" s="300">
        <f t="shared" si="12"/>
        <v>0</v>
      </c>
      <c r="I37" s="305">
        <f t="shared" si="12"/>
        <v>0</v>
      </c>
      <c r="J37" s="305">
        <f t="shared" si="12"/>
        <v>0</v>
      </c>
      <c r="K37" s="306">
        <f t="shared" si="6"/>
        <v>0</v>
      </c>
      <c r="L37" s="305">
        <f t="shared" si="7"/>
        <v>1804</v>
      </c>
      <c r="M37" s="431">
        <f>Données!AE37</f>
        <v>0</v>
      </c>
      <c r="N37" s="433">
        <v>0</v>
      </c>
      <c r="O37" s="300">
        <f t="shared" si="8"/>
        <v>902</v>
      </c>
      <c r="P37" s="305">
        <f t="shared" si="9"/>
        <v>1804</v>
      </c>
      <c r="Q37" s="306">
        <f t="shared" si="2"/>
        <v>27950.617524119847</v>
      </c>
      <c r="R37" s="305">
        <f t="shared" si="3"/>
        <v>61238.312925701248</v>
      </c>
      <c r="S37" s="299">
        <f t="shared" si="4"/>
        <v>45258.656594994463</v>
      </c>
      <c r="T37" s="305">
        <f t="shared" si="10"/>
        <v>0</v>
      </c>
      <c r="U37" s="428">
        <f t="shared" si="11"/>
        <v>134447.58704481556</v>
      </c>
    </row>
    <row r="38" spans="1:21" x14ac:dyDescent="0.25">
      <c r="A38" s="108">
        <f>Données!A38</f>
        <v>5464</v>
      </c>
      <c r="B38" s="109" t="str">
        <f>Données!B38</f>
        <v>Vully-les-Lacs</v>
      </c>
      <c r="C38" s="304">
        <f>Données!C38</f>
        <v>3698</v>
      </c>
      <c r="D38" s="300">
        <f t="shared" si="5"/>
        <v>1000</v>
      </c>
      <c r="E38" s="300">
        <f t="shared" si="12"/>
        <v>2000</v>
      </c>
      <c r="F38" s="305">
        <f t="shared" si="12"/>
        <v>698</v>
      </c>
      <c r="G38" s="299">
        <f t="shared" si="12"/>
        <v>0</v>
      </c>
      <c r="H38" s="300">
        <f t="shared" si="12"/>
        <v>0</v>
      </c>
      <c r="I38" s="305">
        <f t="shared" si="12"/>
        <v>0</v>
      </c>
      <c r="J38" s="305">
        <f t="shared" si="12"/>
        <v>0</v>
      </c>
      <c r="K38" s="306">
        <f t="shared" si="6"/>
        <v>0</v>
      </c>
      <c r="L38" s="305">
        <f t="shared" si="7"/>
        <v>10443</v>
      </c>
      <c r="M38" s="431">
        <f>Données!AE38</f>
        <v>0</v>
      </c>
      <c r="N38" s="433">
        <v>0</v>
      </c>
      <c r="O38" s="300">
        <f t="shared" si="8"/>
        <v>3698</v>
      </c>
      <c r="P38" s="305">
        <f t="shared" si="9"/>
        <v>10443</v>
      </c>
      <c r="Q38" s="306">
        <f t="shared" si="2"/>
        <v>114591.33437272195</v>
      </c>
      <c r="R38" s="305">
        <f t="shared" si="3"/>
        <v>251063.50465548027</v>
      </c>
      <c r="S38" s="299">
        <f t="shared" si="4"/>
        <v>261993.4317192501</v>
      </c>
      <c r="T38" s="305">
        <f t="shared" si="10"/>
        <v>0</v>
      </c>
      <c r="U38" s="428">
        <f t="shared" si="11"/>
        <v>627648.27074745228</v>
      </c>
    </row>
    <row r="39" spans="1:21" x14ac:dyDescent="0.25">
      <c r="A39" s="108">
        <f>Données!A39</f>
        <v>5471</v>
      </c>
      <c r="B39" s="109" t="str">
        <f>Données!B39</f>
        <v>Bettens</v>
      </c>
      <c r="C39" s="304">
        <f>Données!C39</f>
        <v>652</v>
      </c>
      <c r="D39" s="300">
        <f t="shared" si="5"/>
        <v>652</v>
      </c>
      <c r="E39" s="300">
        <f t="shared" si="12"/>
        <v>0</v>
      </c>
      <c r="F39" s="305">
        <f t="shared" si="12"/>
        <v>0</v>
      </c>
      <c r="G39" s="299">
        <f t="shared" si="12"/>
        <v>0</v>
      </c>
      <c r="H39" s="300">
        <f t="shared" si="12"/>
        <v>0</v>
      </c>
      <c r="I39" s="305">
        <f t="shared" si="12"/>
        <v>0</v>
      </c>
      <c r="J39" s="305">
        <f t="shared" si="12"/>
        <v>0</v>
      </c>
      <c r="K39" s="306">
        <f t="shared" si="6"/>
        <v>0</v>
      </c>
      <c r="L39" s="305">
        <f t="shared" si="7"/>
        <v>1304</v>
      </c>
      <c r="M39" s="431">
        <f>Données!AE39</f>
        <v>0</v>
      </c>
      <c r="N39" s="433">
        <v>0</v>
      </c>
      <c r="O39" s="300">
        <f t="shared" si="8"/>
        <v>652</v>
      </c>
      <c r="P39" s="305">
        <f t="shared" si="9"/>
        <v>1304</v>
      </c>
      <c r="Q39" s="306">
        <f t="shared" si="2"/>
        <v>20203.772312334968</v>
      </c>
      <c r="R39" s="305">
        <f t="shared" si="3"/>
        <v>44265.388057158772</v>
      </c>
      <c r="S39" s="299">
        <f t="shared" si="4"/>
        <v>32714.683037623494</v>
      </c>
      <c r="T39" s="305">
        <f t="shared" si="10"/>
        <v>0</v>
      </c>
      <c r="U39" s="428">
        <f t="shared" si="11"/>
        <v>97183.843407117238</v>
      </c>
    </row>
    <row r="40" spans="1:21" x14ac:dyDescent="0.25">
      <c r="A40" s="108">
        <f>Données!A40</f>
        <v>5472</v>
      </c>
      <c r="B40" s="109" t="str">
        <f>Données!B40</f>
        <v>Bournens</v>
      </c>
      <c r="C40" s="304">
        <f>Données!C40</f>
        <v>612</v>
      </c>
      <c r="D40" s="300">
        <f t="shared" si="5"/>
        <v>612</v>
      </c>
      <c r="E40" s="300">
        <f t="shared" si="12"/>
        <v>0</v>
      </c>
      <c r="F40" s="305">
        <f t="shared" si="12"/>
        <v>0</v>
      </c>
      <c r="G40" s="299">
        <f t="shared" si="12"/>
        <v>0</v>
      </c>
      <c r="H40" s="300">
        <f t="shared" si="12"/>
        <v>0</v>
      </c>
      <c r="I40" s="305">
        <f t="shared" si="12"/>
        <v>0</v>
      </c>
      <c r="J40" s="305">
        <f t="shared" si="12"/>
        <v>0</v>
      </c>
      <c r="K40" s="306">
        <f t="shared" si="6"/>
        <v>0</v>
      </c>
      <c r="L40" s="305">
        <f t="shared" si="7"/>
        <v>1224</v>
      </c>
      <c r="M40" s="431">
        <f>Données!AE40</f>
        <v>0</v>
      </c>
      <c r="N40" s="433">
        <v>0</v>
      </c>
      <c r="O40" s="300">
        <f t="shared" si="8"/>
        <v>612</v>
      </c>
      <c r="P40" s="305">
        <f t="shared" si="9"/>
        <v>1224</v>
      </c>
      <c r="Q40" s="306">
        <f t="shared" si="2"/>
        <v>18964.277078449384</v>
      </c>
      <c r="R40" s="305">
        <f t="shared" si="3"/>
        <v>41549.720078191975</v>
      </c>
      <c r="S40" s="299">
        <f t="shared" si="4"/>
        <v>30707.64726844414</v>
      </c>
      <c r="T40" s="305">
        <f t="shared" si="10"/>
        <v>0</v>
      </c>
      <c r="U40" s="428">
        <f t="shared" si="11"/>
        <v>91221.644425085498</v>
      </c>
    </row>
    <row r="41" spans="1:21" x14ac:dyDescent="0.25">
      <c r="A41" s="108">
        <f>Données!A41</f>
        <v>5473</v>
      </c>
      <c r="B41" s="109" t="str">
        <f>Données!B41</f>
        <v>Boussens</v>
      </c>
      <c r="C41" s="304">
        <f>Données!C41</f>
        <v>1016</v>
      </c>
      <c r="D41" s="300">
        <f t="shared" si="5"/>
        <v>1000</v>
      </c>
      <c r="E41" s="300">
        <f t="shared" si="12"/>
        <v>16</v>
      </c>
      <c r="F41" s="305">
        <f t="shared" si="12"/>
        <v>0</v>
      </c>
      <c r="G41" s="299">
        <f t="shared" si="12"/>
        <v>0</v>
      </c>
      <c r="H41" s="300">
        <f t="shared" si="12"/>
        <v>0</v>
      </c>
      <c r="I41" s="305">
        <f t="shared" si="12"/>
        <v>0</v>
      </c>
      <c r="J41" s="305">
        <f t="shared" si="12"/>
        <v>0</v>
      </c>
      <c r="K41" s="306">
        <f t="shared" si="6"/>
        <v>0</v>
      </c>
      <c r="L41" s="305">
        <f t="shared" si="7"/>
        <v>2048</v>
      </c>
      <c r="M41" s="431">
        <f>Données!AE41</f>
        <v>0</v>
      </c>
      <c r="N41" s="433">
        <v>0</v>
      </c>
      <c r="O41" s="300">
        <f t="shared" si="8"/>
        <v>1016</v>
      </c>
      <c r="P41" s="305">
        <f t="shared" si="9"/>
        <v>2048</v>
      </c>
      <c r="Q41" s="306">
        <f t="shared" si="2"/>
        <v>31483.178940693753</v>
      </c>
      <c r="R41" s="305">
        <f t="shared" si="3"/>
        <v>68977.966665756612</v>
      </c>
      <c r="S41" s="299">
        <f t="shared" si="4"/>
        <v>51380.115690991501</v>
      </c>
      <c r="T41" s="305">
        <f t="shared" si="10"/>
        <v>0</v>
      </c>
      <c r="U41" s="428">
        <f t="shared" si="11"/>
        <v>151841.26129744184</v>
      </c>
    </row>
    <row r="42" spans="1:21" x14ac:dyDescent="0.25">
      <c r="A42" s="108">
        <f>Données!A42</f>
        <v>5474</v>
      </c>
      <c r="B42" s="109" t="str">
        <f>Données!B42</f>
        <v>La Chaux (Cossonay)</v>
      </c>
      <c r="C42" s="304">
        <f>Données!C42</f>
        <v>421</v>
      </c>
      <c r="D42" s="300">
        <f t="shared" si="5"/>
        <v>421</v>
      </c>
      <c r="E42" s="300">
        <f t="shared" si="12"/>
        <v>0</v>
      </c>
      <c r="F42" s="305">
        <f t="shared" si="12"/>
        <v>0</v>
      </c>
      <c r="G42" s="299">
        <f t="shared" si="12"/>
        <v>0</v>
      </c>
      <c r="H42" s="300">
        <f t="shared" si="12"/>
        <v>0</v>
      </c>
      <c r="I42" s="305">
        <f t="shared" si="12"/>
        <v>0</v>
      </c>
      <c r="J42" s="305">
        <f t="shared" si="12"/>
        <v>0</v>
      </c>
      <c r="K42" s="306">
        <f t="shared" si="6"/>
        <v>0</v>
      </c>
      <c r="L42" s="305">
        <f t="shared" si="7"/>
        <v>842</v>
      </c>
      <c r="M42" s="431">
        <f>Données!AE42</f>
        <v>0</v>
      </c>
      <c r="N42" s="433">
        <v>0</v>
      </c>
      <c r="O42" s="300">
        <f t="shared" si="8"/>
        <v>421</v>
      </c>
      <c r="P42" s="305">
        <f t="shared" si="9"/>
        <v>842</v>
      </c>
      <c r="Q42" s="306">
        <f t="shared" si="2"/>
        <v>13045.687336645738</v>
      </c>
      <c r="R42" s="305">
        <f t="shared" si="3"/>
        <v>28582.405478625526</v>
      </c>
      <c r="S42" s="299">
        <f t="shared" si="4"/>
        <v>21124.051470612718</v>
      </c>
      <c r="T42" s="305">
        <f t="shared" si="10"/>
        <v>0</v>
      </c>
      <c r="U42" s="428">
        <f t="shared" si="11"/>
        <v>62752.144285883987</v>
      </c>
    </row>
    <row r="43" spans="1:21" x14ac:dyDescent="0.25">
      <c r="A43" s="108">
        <f>Données!A43</f>
        <v>5475</v>
      </c>
      <c r="B43" s="109" t="str">
        <f>Données!B43</f>
        <v>Chavannes-le-Veyron</v>
      </c>
      <c r="C43" s="304">
        <f>Données!C43</f>
        <v>160</v>
      </c>
      <c r="D43" s="300">
        <f t="shared" si="5"/>
        <v>160</v>
      </c>
      <c r="E43" s="300">
        <f t="shared" si="12"/>
        <v>0</v>
      </c>
      <c r="F43" s="305">
        <f t="shared" si="12"/>
        <v>0</v>
      </c>
      <c r="G43" s="299">
        <f t="shared" si="12"/>
        <v>0</v>
      </c>
      <c r="H43" s="300">
        <f t="shared" si="12"/>
        <v>0</v>
      </c>
      <c r="I43" s="305">
        <f t="shared" si="12"/>
        <v>0</v>
      </c>
      <c r="J43" s="305">
        <f t="shared" si="12"/>
        <v>0</v>
      </c>
      <c r="K43" s="306">
        <f t="shared" si="6"/>
        <v>0</v>
      </c>
      <c r="L43" s="305">
        <f t="shared" si="7"/>
        <v>320</v>
      </c>
      <c r="M43" s="431">
        <f>Données!AE43</f>
        <v>0</v>
      </c>
      <c r="N43" s="433">
        <v>0</v>
      </c>
      <c r="O43" s="300">
        <f t="shared" si="8"/>
        <v>160</v>
      </c>
      <c r="P43" s="305">
        <f t="shared" si="9"/>
        <v>320</v>
      </c>
      <c r="Q43" s="306">
        <f t="shared" si="2"/>
        <v>4957.9809355423231</v>
      </c>
      <c r="R43" s="305">
        <f t="shared" si="3"/>
        <v>10862.671915867184</v>
      </c>
      <c r="S43" s="299">
        <f t="shared" si="4"/>
        <v>8028.1430767174224</v>
      </c>
      <c r="T43" s="305">
        <f t="shared" si="10"/>
        <v>0</v>
      </c>
      <c r="U43" s="428">
        <f t="shared" si="11"/>
        <v>23848.795928126929</v>
      </c>
    </row>
    <row r="44" spans="1:21" x14ac:dyDescent="0.25">
      <c r="A44" s="108">
        <f>Données!A44</f>
        <v>5476</v>
      </c>
      <c r="B44" s="109" t="str">
        <f>Données!B44</f>
        <v>Chevilly</v>
      </c>
      <c r="C44" s="304">
        <f>Données!C44</f>
        <v>345</v>
      </c>
      <c r="D44" s="300">
        <f t="shared" si="5"/>
        <v>345</v>
      </c>
      <c r="E44" s="300">
        <f t="shared" si="12"/>
        <v>0</v>
      </c>
      <c r="F44" s="305">
        <f t="shared" si="12"/>
        <v>0</v>
      </c>
      <c r="G44" s="299">
        <f t="shared" si="12"/>
        <v>0</v>
      </c>
      <c r="H44" s="300">
        <f t="shared" si="12"/>
        <v>0</v>
      </c>
      <c r="I44" s="305">
        <f t="shared" si="12"/>
        <v>0</v>
      </c>
      <c r="J44" s="305">
        <f t="shared" si="12"/>
        <v>0</v>
      </c>
      <c r="K44" s="306">
        <f t="shared" si="6"/>
        <v>0</v>
      </c>
      <c r="L44" s="305">
        <f t="shared" si="7"/>
        <v>690</v>
      </c>
      <c r="M44" s="431">
        <f>Données!AE44</f>
        <v>0</v>
      </c>
      <c r="N44" s="433">
        <v>0</v>
      </c>
      <c r="O44" s="300">
        <f t="shared" si="8"/>
        <v>345</v>
      </c>
      <c r="P44" s="305">
        <f t="shared" si="9"/>
        <v>690</v>
      </c>
      <c r="Q44" s="306">
        <f t="shared" si="2"/>
        <v>10690.646392263134</v>
      </c>
      <c r="R44" s="305">
        <f t="shared" si="3"/>
        <v>23422.636318588615</v>
      </c>
      <c r="S44" s="299">
        <f t="shared" si="4"/>
        <v>17310.68350917194</v>
      </c>
      <c r="T44" s="305">
        <f t="shared" si="10"/>
        <v>0</v>
      </c>
      <c r="U44" s="428">
        <f t="shared" si="11"/>
        <v>51423.966220023693</v>
      </c>
    </row>
    <row r="45" spans="1:21" x14ac:dyDescent="0.25">
      <c r="A45" s="108">
        <f>Données!A45</f>
        <v>5477</v>
      </c>
      <c r="B45" s="109" t="str">
        <f>Données!B45</f>
        <v>Cossonay</v>
      </c>
      <c r="C45" s="304">
        <f>Données!C45</f>
        <v>4974</v>
      </c>
      <c r="D45" s="300">
        <f t="shared" si="5"/>
        <v>1000</v>
      </c>
      <c r="E45" s="300">
        <f t="shared" si="12"/>
        <v>2000</v>
      </c>
      <c r="F45" s="305">
        <f t="shared" si="12"/>
        <v>1974</v>
      </c>
      <c r="G45" s="299">
        <f t="shared" si="12"/>
        <v>0</v>
      </c>
      <c r="H45" s="300">
        <f t="shared" si="12"/>
        <v>0</v>
      </c>
      <c r="I45" s="305">
        <f t="shared" si="12"/>
        <v>0</v>
      </c>
      <c r="J45" s="305">
        <f t="shared" si="12"/>
        <v>0</v>
      </c>
      <c r="K45" s="306">
        <f t="shared" si="6"/>
        <v>0</v>
      </c>
      <c r="L45" s="305">
        <f t="shared" si="7"/>
        <v>14909</v>
      </c>
      <c r="M45" s="431">
        <f>Données!AE45</f>
        <v>0</v>
      </c>
      <c r="N45" s="433">
        <v>0</v>
      </c>
      <c r="O45" s="300">
        <f t="shared" si="8"/>
        <v>4974</v>
      </c>
      <c r="P45" s="305">
        <f t="shared" si="9"/>
        <v>14909</v>
      </c>
      <c r="Q45" s="306">
        <f t="shared" si="2"/>
        <v>154131.23233367197</v>
      </c>
      <c r="R45" s="305">
        <f t="shared" si="3"/>
        <v>337693.31318452104</v>
      </c>
      <c r="S45" s="299">
        <f t="shared" si="4"/>
        <v>374036.20353368763</v>
      </c>
      <c r="T45" s="305">
        <f t="shared" si="10"/>
        <v>0</v>
      </c>
      <c r="U45" s="428">
        <f t="shared" si="11"/>
        <v>865860.74905188067</v>
      </c>
    </row>
    <row r="46" spans="1:21" x14ac:dyDescent="0.25">
      <c r="A46" s="108">
        <f>Données!A46</f>
        <v>5479</v>
      </c>
      <c r="B46" s="109" t="str">
        <f>Données!B46</f>
        <v>Cuarnens</v>
      </c>
      <c r="C46" s="304">
        <f>Données!C46</f>
        <v>557</v>
      </c>
      <c r="D46" s="300">
        <f t="shared" si="5"/>
        <v>557</v>
      </c>
      <c r="E46" s="300">
        <f t="shared" si="12"/>
        <v>0</v>
      </c>
      <c r="F46" s="305">
        <f t="shared" si="12"/>
        <v>0</v>
      </c>
      <c r="G46" s="299">
        <f t="shared" si="12"/>
        <v>0</v>
      </c>
      <c r="H46" s="300">
        <f t="shared" si="12"/>
        <v>0</v>
      </c>
      <c r="I46" s="305">
        <f t="shared" si="12"/>
        <v>0</v>
      </c>
      <c r="J46" s="305">
        <f t="shared" si="12"/>
        <v>0</v>
      </c>
      <c r="K46" s="306">
        <f t="shared" si="6"/>
        <v>0</v>
      </c>
      <c r="L46" s="305">
        <f t="shared" si="7"/>
        <v>1114</v>
      </c>
      <c r="M46" s="431">
        <f>Données!AE46</f>
        <v>0</v>
      </c>
      <c r="N46" s="433">
        <v>0</v>
      </c>
      <c r="O46" s="300">
        <f t="shared" si="8"/>
        <v>557</v>
      </c>
      <c r="P46" s="305">
        <f t="shared" si="9"/>
        <v>1114</v>
      </c>
      <c r="Q46" s="306">
        <f t="shared" si="2"/>
        <v>17259.971131856713</v>
      </c>
      <c r="R46" s="305">
        <f t="shared" si="3"/>
        <v>37815.676607112633</v>
      </c>
      <c r="S46" s="299">
        <f t="shared" si="4"/>
        <v>27947.973085822527</v>
      </c>
      <c r="T46" s="305">
        <f t="shared" si="10"/>
        <v>0</v>
      </c>
      <c r="U46" s="428">
        <f t="shared" si="11"/>
        <v>83023.620824791869</v>
      </c>
    </row>
    <row r="47" spans="1:21" x14ac:dyDescent="0.25">
      <c r="A47" s="108">
        <f>Données!A47</f>
        <v>5480</v>
      </c>
      <c r="B47" s="109" t="str">
        <f>Données!B47</f>
        <v>Daillens</v>
      </c>
      <c r="C47" s="304">
        <f>Données!C47</f>
        <v>1113</v>
      </c>
      <c r="D47" s="300">
        <f t="shared" si="5"/>
        <v>1000</v>
      </c>
      <c r="E47" s="300">
        <f t="shared" si="12"/>
        <v>113</v>
      </c>
      <c r="F47" s="305">
        <f t="shared" si="12"/>
        <v>0</v>
      </c>
      <c r="G47" s="299">
        <f t="shared" si="12"/>
        <v>0</v>
      </c>
      <c r="H47" s="300">
        <f t="shared" si="12"/>
        <v>0</v>
      </c>
      <c r="I47" s="305">
        <f t="shared" si="12"/>
        <v>0</v>
      </c>
      <c r="J47" s="305">
        <f t="shared" si="12"/>
        <v>0</v>
      </c>
      <c r="K47" s="306">
        <f t="shared" si="6"/>
        <v>0</v>
      </c>
      <c r="L47" s="305">
        <f t="shared" si="7"/>
        <v>2339</v>
      </c>
      <c r="M47" s="431">
        <f>Données!AE47</f>
        <v>0</v>
      </c>
      <c r="N47" s="433">
        <v>0</v>
      </c>
      <c r="O47" s="300">
        <f t="shared" si="8"/>
        <v>1113</v>
      </c>
      <c r="P47" s="305">
        <f t="shared" si="9"/>
        <v>2339</v>
      </c>
      <c r="Q47" s="306">
        <f t="shared" si="2"/>
        <v>34488.954882866288</v>
      </c>
      <c r="R47" s="305">
        <f t="shared" si="3"/>
        <v>75563.461514751092</v>
      </c>
      <c r="S47" s="299">
        <f t="shared" si="4"/>
        <v>58680.708301381404</v>
      </c>
      <c r="T47" s="305">
        <f t="shared" si="10"/>
        <v>0</v>
      </c>
      <c r="U47" s="428">
        <f t="shared" si="11"/>
        <v>168733.12469899878</v>
      </c>
    </row>
    <row r="48" spans="1:21" x14ac:dyDescent="0.25">
      <c r="A48" s="108">
        <f>Données!A48</f>
        <v>5481</v>
      </c>
      <c r="B48" s="109" t="str">
        <f>Données!B48</f>
        <v>Dizy</v>
      </c>
      <c r="C48" s="304">
        <f>Données!C48</f>
        <v>239</v>
      </c>
      <c r="D48" s="300">
        <f t="shared" si="5"/>
        <v>239</v>
      </c>
      <c r="E48" s="300">
        <f t="shared" si="12"/>
        <v>0</v>
      </c>
      <c r="F48" s="305">
        <f t="shared" si="12"/>
        <v>0</v>
      </c>
      <c r="G48" s="299">
        <f t="shared" si="12"/>
        <v>0</v>
      </c>
      <c r="H48" s="300">
        <f t="shared" si="12"/>
        <v>0</v>
      </c>
      <c r="I48" s="305">
        <f t="shared" si="12"/>
        <v>0</v>
      </c>
      <c r="J48" s="305">
        <f t="shared" si="12"/>
        <v>0</v>
      </c>
      <c r="K48" s="306">
        <f t="shared" si="6"/>
        <v>0</v>
      </c>
      <c r="L48" s="305">
        <f t="shared" si="7"/>
        <v>478</v>
      </c>
      <c r="M48" s="431">
        <f>Données!AE48</f>
        <v>0</v>
      </c>
      <c r="N48" s="433">
        <v>0</v>
      </c>
      <c r="O48" s="300">
        <f t="shared" si="8"/>
        <v>239</v>
      </c>
      <c r="P48" s="305">
        <f t="shared" si="9"/>
        <v>478</v>
      </c>
      <c r="Q48" s="306">
        <f t="shared" si="2"/>
        <v>7405.9840224663449</v>
      </c>
      <c r="R48" s="305">
        <f t="shared" si="3"/>
        <v>16226.116174326606</v>
      </c>
      <c r="S48" s="299">
        <f t="shared" si="4"/>
        <v>11992.038720846649</v>
      </c>
      <c r="T48" s="305">
        <f t="shared" si="10"/>
        <v>0</v>
      </c>
      <c r="U48" s="428">
        <f t="shared" si="11"/>
        <v>35624.138917639604</v>
      </c>
    </row>
    <row r="49" spans="1:21" x14ac:dyDescent="0.25">
      <c r="A49" s="108">
        <f>Données!A49</f>
        <v>5482</v>
      </c>
      <c r="B49" s="109" t="str">
        <f>Données!B49</f>
        <v>Eclépens</v>
      </c>
      <c r="C49" s="304">
        <f>Données!C49</f>
        <v>1202</v>
      </c>
      <c r="D49" s="300">
        <f t="shared" si="5"/>
        <v>1000</v>
      </c>
      <c r="E49" s="300">
        <f t="shared" si="12"/>
        <v>202</v>
      </c>
      <c r="F49" s="305">
        <f t="shared" si="12"/>
        <v>0</v>
      </c>
      <c r="G49" s="299">
        <f t="shared" si="12"/>
        <v>0</v>
      </c>
      <c r="H49" s="300">
        <f t="shared" si="12"/>
        <v>0</v>
      </c>
      <c r="I49" s="305">
        <f t="shared" si="12"/>
        <v>0</v>
      </c>
      <c r="J49" s="305">
        <f t="shared" si="12"/>
        <v>0</v>
      </c>
      <c r="K49" s="306">
        <f t="shared" si="6"/>
        <v>0</v>
      </c>
      <c r="L49" s="305">
        <f t="shared" si="7"/>
        <v>2606</v>
      </c>
      <c r="M49" s="431">
        <f>Données!AE49</f>
        <v>0</v>
      </c>
      <c r="N49" s="433">
        <v>0</v>
      </c>
      <c r="O49" s="300">
        <f t="shared" si="8"/>
        <v>1202</v>
      </c>
      <c r="P49" s="305">
        <f t="shared" si="9"/>
        <v>2606</v>
      </c>
      <c r="Q49" s="306">
        <f t="shared" si="2"/>
        <v>37246.831778261701</v>
      </c>
      <c r="R49" s="305">
        <f t="shared" si="3"/>
        <v>81605.82276795221</v>
      </c>
      <c r="S49" s="299">
        <f t="shared" si="4"/>
        <v>65379.190181017504</v>
      </c>
      <c r="T49" s="305">
        <f t="shared" si="10"/>
        <v>0</v>
      </c>
      <c r="U49" s="428">
        <f t="shared" si="11"/>
        <v>184231.84472723142</v>
      </c>
    </row>
    <row r="50" spans="1:21" x14ac:dyDescent="0.25">
      <c r="A50" s="108">
        <f>Données!A50</f>
        <v>5483</v>
      </c>
      <c r="B50" s="109" t="str">
        <f>Données!B50</f>
        <v>Ferreyres</v>
      </c>
      <c r="C50" s="304">
        <f>Données!C50</f>
        <v>308</v>
      </c>
      <c r="D50" s="300">
        <f t="shared" si="5"/>
        <v>308</v>
      </c>
      <c r="E50" s="300">
        <f t="shared" si="12"/>
        <v>0</v>
      </c>
      <c r="F50" s="305">
        <f t="shared" si="12"/>
        <v>0</v>
      </c>
      <c r="G50" s="299">
        <f t="shared" si="12"/>
        <v>0</v>
      </c>
      <c r="H50" s="300">
        <f t="shared" si="12"/>
        <v>0</v>
      </c>
      <c r="I50" s="305">
        <f t="shared" si="12"/>
        <v>0</v>
      </c>
      <c r="J50" s="305">
        <f t="shared" si="12"/>
        <v>0</v>
      </c>
      <c r="K50" s="306">
        <f t="shared" si="6"/>
        <v>0</v>
      </c>
      <c r="L50" s="305">
        <f t="shared" si="7"/>
        <v>616</v>
      </c>
      <c r="M50" s="431">
        <f>Données!AE50</f>
        <v>0</v>
      </c>
      <c r="N50" s="433">
        <v>0</v>
      </c>
      <c r="O50" s="300">
        <f t="shared" si="8"/>
        <v>308</v>
      </c>
      <c r="P50" s="305">
        <f t="shared" si="9"/>
        <v>616</v>
      </c>
      <c r="Q50" s="306">
        <f t="shared" si="2"/>
        <v>9544.1133009189725</v>
      </c>
      <c r="R50" s="305">
        <f t="shared" si="3"/>
        <v>20910.643438044328</v>
      </c>
      <c r="S50" s="299">
        <f t="shared" si="4"/>
        <v>15454.175422681037</v>
      </c>
      <c r="T50" s="305">
        <f t="shared" si="10"/>
        <v>0</v>
      </c>
      <c r="U50" s="428">
        <f t="shared" si="11"/>
        <v>45908.932161644334</v>
      </c>
    </row>
    <row r="51" spans="1:21" x14ac:dyDescent="0.25">
      <c r="A51" s="108">
        <f>Données!A51</f>
        <v>5484</v>
      </c>
      <c r="B51" s="109" t="str">
        <f>Données!B51</f>
        <v>Gollion</v>
      </c>
      <c r="C51" s="304">
        <f>Données!C51</f>
        <v>1091</v>
      </c>
      <c r="D51" s="300">
        <f t="shared" si="5"/>
        <v>1000</v>
      </c>
      <c r="E51" s="300">
        <f t="shared" si="12"/>
        <v>91</v>
      </c>
      <c r="F51" s="305">
        <f t="shared" si="12"/>
        <v>0</v>
      </c>
      <c r="G51" s="299">
        <f t="shared" si="12"/>
        <v>0</v>
      </c>
      <c r="H51" s="300">
        <f t="shared" si="12"/>
        <v>0</v>
      </c>
      <c r="I51" s="305">
        <f t="shared" si="12"/>
        <v>0</v>
      </c>
      <c r="J51" s="305">
        <f t="shared" si="12"/>
        <v>0</v>
      </c>
      <c r="K51" s="306">
        <f t="shared" si="6"/>
        <v>0</v>
      </c>
      <c r="L51" s="305">
        <f t="shared" si="7"/>
        <v>2273</v>
      </c>
      <c r="M51" s="431">
        <f>Données!AE51</f>
        <v>0</v>
      </c>
      <c r="N51" s="433">
        <v>0</v>
      </c>
      <c r="O51" s="300">
        <f t="shared" si="8"/>
        <v>1091</v>
      </c>
      <c r="P51" s="305">
        <f t="shared" si="9"/>
        <v>2273</v>
      </c>
      <c r="Q51" s="306">
        <f t="shared" si="2"/>
        <v>33807.232504229214</v>
      </c>
      <c r="R51" s="305">
        <f t="shared" si="3"/>
        <v>74069.844126319353</v>
      </c>
      <c r="S51" s="299">
        <f t="shared" si="4"/>
        <v>57024.903791808436</v>
      </c>
      <c r="T51" s="305">
        <f t="shared" si="10"/>
        <v>0</v>
      </c>
      <c r="U51" s="428">
        <f t="shared" si="11"/>
        <v>164901.98042235701</v>
      </c>
    </row>
    <row r="52" spans="1:21" x14ac:dyDescent="0.25">
      <c r="A52" s="108">
        <f>Données!A52</f>
        <v>5485</v>
      </c>
      <c r="B52" s="109" t="str">
        <f>Données!B52</f>
        <v>Grancy</v>
      </c>
      <c r="C52" s="304">
        <f>Données!C52</f>
        <v>541</v>
      </c>
      <c r="D52" s="300">
        <f t="shared" si="5"/>
        <v>541</v>
      </c>
      <c r="E52" s="300">
        <f t="shared" si="12"/>
        <v>0</v>
      </c>
      <c r="F52" s="305">
        <f t="shared" si="12"/>
        <v>0</v>
      </c>
      <c r="G52" s="299">
        <f t="shared" si="12"/>
        <v>0</v>
      </c>
      <c r="H52" s="300">
        <f t="shared" si="12"/>
        <v>0</v>
      </c>
      <c r="I52" s="305">
        <f t="shared" si="12"/>
        <v>0</v>
      </c>
      <c r="J52" s="305">
        <f t="shared" si="12"/>
        <v>0</v>
      </c>
      <c r="K52" s="306">
        <f t="shared" si="6"/>
        <v>0</v>
      </c>
      <c r="L52" s="305">
        <f t="shared" si="7"/>
        <v>1082</v>
      </c>
      <c r="M52" s="431">
        <f>Données!AE52</f>
        <v>0</v>
      </c>
      <c r="N52" s="433">
        <v>0</v>
      </c>
      <c r="O52" s="300">
        <f t="shared" si="8"/>
        <v>541</v>
      </c>
      <c r="P52" s="305">
        <f t="shared" si="9"/>
        <v>1082</v>
      </c>
      <c r="Q52" s="306">
        <f t="shared" si="2"/>
        <v>16764.173038302481</v>
      </c>
      <c r="R52" s="305">
        <f t="shared" si="3"/>
        <v>36729.409415525915</v>
      </c>
      <c r="S52" s="299">
        <f t="shared" si="4"/>
        <v>27145.158778150784</v>
      </c>
      <c r="T52" s="305">
        <f t="shared" si="10"/>
        <v>0</v>
      </c>
      <c r="U52" s="428">
        <f t="shared" si="11"/>
        <v>80638.741231979177</v>
      </c>
    </row>
    <row r="53" spans="1:21" x14ac:dyDescent="0.25">
      <c r="A53" s="108">
        <f>Données!A53</f>
        <v>5486</v>
      </c>
      <c r="B53" s="109" t="str">
        <f>Données!B53</f>
        <v>L'Isle</v>
      </c>
      <c r="C53" s="304">
        <f>Données!C53</f>
        <v>1106</v>
      </c>
      <c r="D53" s="300">
        <f t="shared" si="5"/>
        <v>1000</v>
      </c>
      <c r="E53" s="300">
        <f t="shared" si="12"/>
        <v>106</v>
      </c>
      <c r="F53" s="305">
        <f t="shared" si="12"/>
        <v>0</v>
      </c>
      <c r="G53" s="299">
        <f t="shared" si="12"/>
        <v>0</v>
      </c>
      <c r="H53" s="300">
        <f t="shared" si="12"/>
        <v>0</v>
      </c>
      <c r="I53" s="305">
        <f t="shared" si="12"/>
        <v>0</v>
      </c>
      <c r="J53" s="305">
        <f t="shared" si="12"/>
        <v>0</v>
      </c>
      <c r="K53" s="306">
        <f t="shared" si="6"/>
        <v>0</v>
      </c>
      <c r="L53" s="305">
        <f t="shared" si="7"/>
        <v>2318</v>
      </c>
      <c r="M53" s="431">
        <f>Données!AE53</f>
        <v>0</v>
      </c>
      <c r="N53" s="433">
        <v>0</v>
      </c>
      <c r="O53" s="300">
        <f t="shared" si="8"/>
        <v>1106</v>
      </c>
      <c r="P53" s="305">
        <f t="shared" si="9"/>
        <v>2318</v>
      </c>
      <c r="Q53" s="306">
        <f t="shared" si="2"/>
        <v>34272.043216936305</v>
      </c>
      <c r="R53" s="305">
        <f t="shared" si="3"/>
        <v>75088.219618431904</v>
      </c>
      <c r="S53" s="299">
        <f t="shared" si="4"/>
        <v>58153.861411971826</v>
      </c>
      <c r="T53" s="305">
        <f t="shared" si="10"/>
        <v>0</v>
      </c>
      <c r="U53" s="428">
        <f t="shared" si="11"/>
        <v>167514.12424734002</v>
      </c>
    </row>
    <row r="54" spans="1:21" x14ac:dyDescent="0.25">
      <c r="A54" s="108">
        <f>Données!A54</f>
        <v>5487</v>
      </c>
      <c r="B54" s="109" t="str">
        <f>Données!B54</f>
        <v>Lussery-Villars</v>
      </c>
      <c r="C54" s="304">
        <f>Données!C54</f>
        <v>469</v>
      </c>
      <c r="D54" s="300">
        <f t="shared" si="5"/>
        <v>469</v>
      </c>
      <c r="E54" s="300">
        <f t="shared" si="12"/>
        <v>0</v>
      </c>
      <c r="F54" s="305">
        <f t="shared" si="12"/>
        <v>0</v>
      </c>
      <c r="G54" s="299">
        <f t="shared" si="12"/>
        <v>0</v>
      </c>
      <c r="H54" s="300">
        <f t="shared" si="12"/>
        <v>0</v>
      </c>
      <c r="I54" s="305">
        <f t="shared" si="12"/>
        <v>0</v>
      </c>
      <c r="J54" s="305">
        <f t="shared" si="12"/>
        <v>0</v>
      </c>
      <c r="K54" s="306">
        <f t="shared" si="6"/>
        <v>0</v>
      </c>
      <c r="L54" s="305">
        <f t="shared" si="7"/>
        <v>938</v>
      </c>
      <c r="M54" s="431">
        <f>Données!AE54</f>
        <v>0</v>
      </c>
      <c r="N54" s="433">
        <v>0</v>
      </c>
      <c r="O54" s="300">
        <f t="shared" si="8"/>
        <v>469</v>
      </c>
      <c r="P54" s="305">
        <f t="shared" si="9"/>
        <v>938</v>
      </c>
      <c r="Q54" s="306">
        <f t="shared" si="2"/>
        <v>14533.081617308435</v>
      </c>
      <c r="R54" s="305">
        <f t="shared" si="3"/>
        <v>31841.207053385682</v>
      </c>
      <c r="S54" s="299">
        <f t="shared" si="4"/>
        <v>23532.494393627941</v>
      </c>
      <c r="T54" s="305">
        <f t="shared" si="10"/>
        <v>0</v>
      </c>
      <c r="U54" s="428">
        <f t="shared" si="11"/>
        <v>69906.783064322066</v>
      </c>
    </row>
    <row r="55" spans="1:21" x14ac:dyDescent="0.25">
      <c r="A55" s="108">
        <f>Données!A55</f>
        <v>5488</v>
      </c>
      <c r="B55" s="109" t="str">
        <f>Données!B55</f>
        <v>Mauraz</v>
      </c>
      <c r="C55" s="304">
        <f>Données!C55</f>
        <v>74</v>
      </c>
      <c r="D55" s="300">
        <f t="shared" si="5"/>
        <v>74</v>
      </c>
      <c r="E55" s="300">
        <f t="shared" si="12"/>
        <v>0</v>
      </c>
      <c r="F55" s="305">
        <f t="shared" si="12"/>
        <v>0</v>
      </c>
      <c r="G55" s="299">
        <f t="shared" si="12"/>
        <v>0</v>
      </c>
      <c r="H55" s="300">
        <f t="shared" si="12"/>
        <v>0</v>
      </c>
      <c r="I55" s="305">
        <f t="shared" si="12"/>
        <v>0</v>
      </c>
      <c r="J55" s="305">
        <f t="shared" si="12"/>
        <v>0</v>
      </c>
      <c r="K55" s="306">
        <f t="shared" si="6"/>
        <v>0</v>
      </c>
      <c r="L55" s="305">
        <f t="shared" si="7"/>
        <v>148</v>
      </c>
      <c r="M55" s="431">
        <f>Données!AE55</f>
        <v>0</v>
      </c>
      <c r="N55" s="433">
        <v>0</v>
      </c>
      <c r="O55" s="300">
        <f t="shared" si="8"/>
        <v>74</v>
      </c>
      <c r="P55" s="305">
        <f t="shared" si="9"/>
        <v>148</v>
      </c>
      <c r="Q55" s="306">
        <f t="shared" si="2"/>
        <v>2293.0661826883243</v>
      </c>
      <c r="R55" s="305">
        <f t="shared" si="3"/>
        <v>5023.985761088572</v>
      </c>
      <c r="S55" s="299">
        <f t="shared" si="4"/>
        <v>3713.0161729818078</v>
      </c>
      <c r="T55" s="305">
        <f t="shared" si="10"/>
        <v>0</v>
      </c>
      <c r="U55" s="428">
        <f t="shared" si="11"/>
        <v>11030.068116758704</v>
      </c>
    </row>
    <row r="56" spans="1:21" x14ac:dyDescent="0.25">
      <c r="A56" s="108">
        <f>Données!A56</f>
        <v>5489</v>
      </c>
      <c r="B56" s="109" t="str">
        <f>Données!B56</f>
        <v>Mex</v>
      </c>
      <c r="C56" s="304">
        <f>Données!C56</f>
        <v>828</v>
      </c>
      <c r="D56" s="300">
        <f t="shared" si="5"/>
        <v>828</v>
      </c>
      <c r="E56" s="300">
        <f t="shared" si="12"/>
        <v>0</v>
      </c>
      <c r="F56" s="305">
        <f t="shared" si="12"/>
        <v>0</v>
      </c>
      <c r="G56" s="299">
        <f t="shared" si="12"/>
        <v>0</v>
      </c>
      <c r="H56" s="300">
        <f t="shared" si="12"/>
        <v>0</v>
      </c>
      <c r="I56" s="305">
        <f t="shared" si="12"/>
        <v>0</v>
      </c>
      <c r="J56" s="305">
        <f t="shared" si="12"/>
        <v>0</v>
      </c>
      <c r="K56" s="306">
        <f t="shared" si="6"/>
        <v>0</v>
      </c>
      <c r="L56" s="305">
        <f t="shared" si="7"/>
        <v>1656</v>
      </c>
      <c r="M56" s="431">
        <f>Données!AE56</f>
        <v>0</v>
      </c>
      <c r="N56" s="433">
        <v>0</v>
      </c>
      <c r="O56" s="300">
        <f t="shared" si="8"/>
        <v>828</v>
      </c>
      <c r="P56" s="305">
        <f t="shared" si="9"/>
        <v>1656</v>
      </c>
      <c r="Q56" s="306">
        <f t="shared" si="2"/>
        <v>25657.551341431521</v>
      </c>
      <c r="R56" s="305">
        <f t="shared" si="3"/>
        <v>56214.327164612674</v>
      </c>
      <c r="S56" s="299">
        <f t="shared" si="4"/>
        <v>41545.640422012657</v>
      </c>
      <c r="T56" s="305">
        <f t="shared" si="10"/>
        <v>0</v>
      </c>
      <c r="U56" s="428">
        <f t="shared" si="11"/>
        <v>123417.51892805684</v>
      </c>
    </row>
    <row r="57" spans="1:21" x14ac:dyDescent="0.25">
      <c r="A57" s="108">
        <f>Données!A57</f>
        <v>5490</v>
      </c>
      <c r="B57" s="109" t="str">
        <f>Données!B57</f>
        <v>Moiry</v>
      </c>
      <c r="C57" s="304">
        <f>Données!C57</f>
        <v>295</v>
      </c>
      <c r="D57" s="300">
        <f t="shared" si="5"/>
        <v>295</v>
      </c>
      <c r="E57" s="300">
        <f t="shared" si="12"/>
        <v>0</v>
      </c>
      <c r="F57" s="305">
        <f t="shared" si="12"/>
        <v>0</v>
      </c>
      <c r="G57" s="299">
        <f t="shared" si="12"/>
        <v>0</v>
      </c>
      <c r="H57" s="300">
        <f t="shared" si="12"/>
        <v>0</v>
      </c>
      <c r="I57" s="305">
        <f t="shared" si="12"/>
        <v>0</v>
      </c>
      <c r="J57" s="305">
        <f t="shared" si="12"/>
        <v>0</v>
      </c>
      <c r="K57" s="306">
        <f t="shared" si="6"/>
        <v>0</v>
      </c>
      <c r="L57" s="305">
        <f t="shared" si="7"/>
        <v>590</v>
      </c>
      <c r="M57" s="431">
        <f>Données!AE57</f>
        <v>0</v>
      </c>
      <c r="N57" s="433">
        <v>0</v>
      </c>
      <c r="O57" s="300">
        <f t="shared" si="8"/>
        <v>295</v>
      </c>
      <c r="P57" s="305">
        <f t="shared" si="9"/>
        <v>590</v>
      </c>
      <c r="Q57" s="306">
        <f t="shared" si="2"/>
        <v>9141.2773499061586</v>
      </c>
      <c r="R57" s="305">
        <f t="shared" si="3"/>
        <v>20028.051344880121</v>
      </c>
      <c r="S57" s="299">
        <f t="shared" si="4"/>
        <v>14801.888797697748</v>
      </c>
      <c r="T57" s="305">
        <f t="shared" si="10"/>
        <v>0</v>
      </c>
      <c r="U57" s="428">
        <f t="shared" si="11"/>
        <v>43971.217492484029</v>
      </c>
    </row>
    <row r="58" spans="1:21" x14ac:dyDescent="0.25">
      <c r="A58" s="108">
        <f>Données!A58</f>
        <v>5491</v>
      </c>
      <c r="B58" s="109" t="str">
        <f>Données!B58</f>
        <v>Mont-la-Ville</v>
      </c>
      <c r="C58" s="304">
        <f>Données!C58</f>
        <v>504</v>
      </c>
      <c r="D58" s="300">
        <f t="shared" si="5"/>
        <v>504</v>
      </c>
      <c r="E58" s="300">
        <f t="shared" si="12"/>
        <v>0</v>
      </c>
      <c r="F58" s="305">
        <f t="shared" si="12"/>
        <v>0</v>
      </c>
      <c r="G58" s="299">
        <f t="shared" si="12"/>
        <v>0</v>
      </c>
      <c r="H58" s="300">
        <f t="shared" si="12"/>
        <v>0</v>
      </c>
      <c r="I58" s="305">
        <f t="shared" si="12"/>
        <v>0</v>
      </c>
      <c r="J58" s="305">
        <f t="shared" si="12"/>
        <v>0</v>
      </c>
      <c r="K58" s="306">
        <f t="shared" si="6"/>
        <v>0</v>
      </c>
      <c r="L58" s="305">
        <f t="shared" si="7"/>
        <v>1008</v>
      </c>
      <c r="M58" s="431">
        <f>Données!AE58</f>
        <v>0</v>
      </c>
      <c r="N58" s="433">
        <v>0</v>
      </c>
      <c r="O58" s="300">
        <f t="shared" si="8"/>
        <v>504</v>
      </c>
      <c r="P58" s="305">
        <f t="shared" si="9"/>
        <v>1008</v>
      </c>
      <c r="Q58" s="306">
        <f t="shared" si="2"/>
        <v>15617.639946958318</v>
      </c>
      <c r="R58" s="305">
        <f t="shared" si="3"/>
        <v>34217.416534981625</v>
      </c>
      <c r="S58" s="299">
        <f t="shared" si="4"/>
        <v>25288.650691659881</v>
      </c>
      <c r="T58" s="305">
        <f t="shared" si="10"/>
        <v>0</v>
      </c>
      <c r="U58" s="428">
        <f t="shared" si="11"/>
        <v>75123.707173599832</v>
      </c>
    </row>
    <row r="59" spans="1:21" x14ac:dyDescent="0.25">
      <c r="A59" s="108">
        <f>Données!A59</f>
        <v>5492</v>
      </c>
      <c r="B59" s="109" t="str">
        <f>Données!B59</f>
        <v>Montricher</v>
      </c>
      <c r="C59" s="304">
        <f>Données!C59</f>
        <v>947</v>
      </c>
      <c r="D59" s="300">
        <f t="shared" si="5"/>
        <v>947</v>
      </c>
      <c r="E59" s="300">
        <f t="shared" si="12"/>
        <v>0</v>
      </c>
      <c r="F59" s="305">
        <f t="shared" si="12"/>
        <v>0</v>
      </c>
      <c r="G59" s="299">
        <f t="shared" si="12"/>
        <v>0</v>
      </c>
      <c r="H59" s="300">
        <f t="shared" si="12"/>
        <v>0</v>
      </c>
      <c r="I59" s="305">
        <f t="shared" si="12"/>
        <v>0</v>
      </c>
      <c r="J59" s="305">
        <f t="shared" si="12"/>
        <v>0</v>
      </c>
      <c r="K59" s="306">
        <f t="shared" si="6"/>
        <v>0</v>
      </c>
      <c r="L59" s="305">
        <f t="shared" si="7"/>
        <v>1894</v>
      </c>
      <c r="M59" s="431">
        <f>Données!AE59</f>
        <v>0</v>
      </c>
      <c r="N59" s="433">
        <v>0</v>
      </c>
      <c r="O59" s="300">
        <f t="shared" si="8"/>
        <v>947</v>
      </c>
      <c r="P59" s="305">
        <f t="shared" si="9"/>
        <v>1894</v>
      </c>
      <c r="Q59" s="306">
        <f t="shared" si="2"/>
        <v>29345.049662241126</v>
      </c>
      <c r="R59" s="305">
        <f t="shared" si="3"/>
        <v>64293.439402038894</v>
      </c>
      <c r="S59" s="299">
        <f t="shared" si="4"/>
        <v>47516.571835321243</v>
      </c>
      <c r="T59" s="305">
        <f t="shared" si="10"/>
        <v>0</v>
      </c>
      <c r="U59" s="428">
        <f t="shared" si="11"/>
        <v>141155.06089960126</v>
      </c>
    </row>
    <row r="60" spans="1:21" x14ac:dyDescent="0.25">
      <c r="A60" s="108">
        <f>Données!A60</f>
        <v>5493</v>
      </c>
      <c r="B60" s="109" t="str">
        <f>Données!B60</f>
        <v>Orny</v>
      </c>
      <c r="C60" s="304">
        <f>Données!C60</f>
        <v>525</v>
      </c>
      <c r="D60" s="300">
        <f t="shared" si="5"/>
        <v>525</v>
      </c>
      <c r="E60" s="300">
        <f t="shared" si="12"/>
        <v>0</v>
      </c>
      <c r="F60" s="305">
        <f t="shared" si="12"/>
        <v>0</v>
      </c>
      <c r="G60" s="299">
        <f t="shared" si="12"/>
        <v>0</v>
      </c>
      <c r="H60" s="300">
        <f t="shared" si="12"/>
        <v>0</v>
      </c>
      <c r="I60" s="305">
        <f t="shared" si="12"/>
        <v>0</v>
      </c>
      <c r="J60" s="305">
        <f t="shared" si="12"/>
        <v>0</v>
      </c>
      <c r="K60" s="306">
        <f t="shared" si="6"/>
        <v>0</v>
      </c>
      <c r="L60" s="305">
        <f t="shared" si="7"/>
        <v>1050</v>
      </c>
      <c r="M60" s="431">
        <f>Données!AE60</f>
        <v>0</v>
      </c>
      <c r="N60" s="433">
        <v>0</v>
      </c>
      <c r="O60" s="300">
        <f t="shared" si="8"/>
        <v>525</v>
      </c>
      <c r="P60" s="305">
        <f t="shared" si="9"/>
        <v>1050</v>
      </c>
      <c r="Q60" s="306">
        <f t="shared" si="2"/>
        <v>16268.374944748248</v>
      </c>
      <c r="R60" s="305">
        <f t="shared" si="3"/>
        <v>35643.142223939198</v>
      </c>
      <c r="S60" s="299">
        <f t="shared" si="4"/>
        <v>26342.344470479042</v>
      </c>
      <c r="T60" s="305">
        <f t="shared" si="10"/>
        <v>0</v>
      </c>
      <c r="U60" s="428">
        <f t="shared" si="11"/>
        <v>78253.861639166484</v>
      </c>
    </row>
    <row r="61" spans="1:21" x14ac:dyDescent="0.25">
      <c r="A61" s="108">
        <f>Données!A61</f>
        <v>5495</v>
      </c>
      <c r="B61" s="109" t="str">
        <f>Données!B61</f>
        <v>Penthalaz</v>
      </c>
      <c r="C61" s="304">
        <f>Données!C61</f>
        <v>3199</v>
      </c>
      <c r="D61" s="300">
        <f t="shared" si="5"/>
        <v>1000</v>
      </c>
      <c r="E61" s="300">
        <f t="shared" si="12"/>
        <v>2000</v>
      </c>
      <c r="F61" s="305">
        <f t="shared" si="12"/>
        <v>199</v>
      </c>
      <c r="G61" s="299">
        <f t="shared" si="12"/>
        <v>0</v>
      </c>
      <c r="H61" s="300">
        <f t="shared" si="12"/>
        <v>0</v>
      </c>
      <c r="I61" s="305">
        <f t="shared" si="12"/>
        <v>0</v>
      </c>
      <c r="J61" s="305">
        <f t="shared" si="12"/>
        <v>0</v>
      </c>
      <c r="K61" s="306">
        <f t="shared" si="6"/>
        <v>0</v>
      </c>
      <c r="L61" s="305">
        <f t="shared" si="7"/>
        <v>8696.5</v>
      </c>
      <c r="M61" s="431">
        <f>Données!AE61</f>
        <v>0</v>
      </c>
      <c r="N61" s="433">
        <v>0</v>
      </c>
      <c r="O61" s="300">
        <f t="shared" si="8"/>
        <v>3199</v>
      </c>
      <c r="P61" s="305">
        <f t="shared" si="9"/>
        <v>8696.5</v>
      </c>
      <c r="Q61" s="306">
        <f t="shared" si="2"/>
        <v>99128.63132999932</v>
      </c>
      <c r="R61" s="305">
        <f t="shared" si="3"/>
        <v>217185.54661786949</v>
      </c>
      <c r="S61" s="299">
        <f t="shared" si="4"/>
        <v>218177.33208335331</v>
      </c>
      <c r="T61" s="305">
        <f t="shared" si="10"/>
        <v>0</v>
      </c>
      <c r="U61" s="428">
        <f t="shared" si="11"/>
        <v>534491.51003122213</v>
      </c>
    </row>
    <row r="62" spans="1:21" x14ac:dyDescent="0.25">
      <c r="A62" s="108">
        <f>Données!A62</f>
        <v>5496</v>
      </c>
      <c r="B62" s="109" t="str">
        <f>Données!B62</f>
        <v>Penthaz</v>
      </c>
      <c r="C62" s="304">
        <f>Données!C62</f>
        <v>1910</v>
      </c>
      <c r="D62" s="300">
        <f t="shared" si="5"/>
        <v>1000</v>
      </c>
      <c r="E62" s="300">
        <f t="shared" si="12"/>
        <v>910</v>
      </c>
      <c r="F62" s="305">
        <f t="shared" si="12"/>
        <v>0</v>
      </c>
      <c r="G62" s="299">
        <f t="shared" si="12"/>
        <v>0</v>
      </c>
      <c r="H62" s="300">
        <f t="shared" si="12"/>
        <v>0</v>
      </c>
      <c r="I62" s="305">
        <f t="shared" si="12"/>
        <v>0</v>
      </c>
      <c r="J62" s="305">
        <f t="shared" si="12"/>
        <v>0</v>
      </c>
      <c r="K62" s="306">
        <f t="shared" si="6"/>
        <v>0</v>
      </c>
      <c r="L62" s="305">
        <f t="shared" si="7"/>
        <v>4730</v>
      </c>
      <c r="M62" s="431">
        <f>Données!AE62</f>
        <v>0</v>
      </c>
      <c r="N62" s="433">
        <v>0</v>
      </c>
      <c r="O62" s="300">
        <f t="shared" si="8"/>
        <v>1910</v>
      </c>
      <c r="P62" s="305">
        <f t="shared" si="9"/>
        <v>4730</v>
      </c>
      <c r="Q62" s="306">
        <f t="shared" si="2"/>
        <v>59185.897418036482</v>
      </c>
      <c r="R62" s="305">
        <f t="shared" si="3"/>
        <v>129673.1459956645</v>
      </c>
      <c r="S62" s="299">
        <f t="shared" si="4"/>
        <v>118665.9898527294</v>
      </c>
      <c r="T62" s="305">
        <f t="shared" si="10"/>
        <v>0</v>
      </c>
      <c r="U62" s="428">
        <f t="shared" si="11"/>
        <v>307525.03326643037</v>
      </c>
    </row>
    <row r="63" spans="1:21" x14ac:dyDescent="0.25">
      <c r="A63" s="108">
        <f>Données!A63</f>
        <v>5497</v>
      </c>
      <c r="B63" s="109" t="str">
        <f>Données!B63</f>
        <v>Pompaples</v>
      </c>
      <c r="C63" s="304">
        <f>Données!C63</f>
        <v>917</v>
      </c>
      <c r="D63" s="300">
        <f t="shared" si="5"/>
        <v>917</v>
      </c>
      <c r="E63" s="300">
        <f t="shared" si="12"/>
        <v>0</v>
      </c>
      <c r="F63" s="305">
        <f t="shared" si="12"/>
        <v>0</v>
      </c>
      <c r="G63" s="299">
        <f t="shared" si="12"/>
        <v>0</v>
      </c>
      <c r="H63" s="300">
        <f t="shared" si="12"/>
        <v>0</v>
      </c>
      <c r="I63" s="305">
        <f t="shared" si="12"/>
        <v>0</v>
      </c>
      <c r="J63" s="305">
        <f t="shared" si="12"/>
        <v>0</v>
      </c>
      <c r="K63" s="306">
        <f t="shared" si="6"/>
        <v>0</v>
      </c>
      <c r="L63" s="305">
        <f t="shared" si="7"/>
        <v>1834</v>
      </c>
      <c r="M63" s="431">
        <f>Données!AE63</f>
        <v>0</v>
      </c>
      <c r="N63" s="433">
        <v>0</v>
      </c>
      <c r="O63" s="300">
        <f t="shared" si="8"/>
        <v>917</v>
      </c>
      <c r="P63" s="305">
        <f t="shared" si="9"/>
        <v>1834</v>
      </c>
      <c r="Q63" s="306">
        <f t="shared" si="2"/>
        <v>28415.428236826938</v>
      </c>
      <c r="R63" s="305">
        <f t="shared" si="3"/>
        <v>62256.688417813799</v>
      </c>
      <c r="S63" s="299">
        <f t="shared" si="4"/>
        <v>46011.295008436726</v>
      </c>
      <c r="T63" s="305">
        <f t="shared" si="10"/>
        <v>0</v>
      </c>
      <c r="U63" s="428">
        <f t="shared" si="11"/>
        <v>136683.41166307745</v>
      </c>
    </row>
    <row r="64" spans="1:21" x14ac:dyDescent="0.25">
      <c r="A64" s="108">
        <f>Données!A64</f>
        <v>5498</v>
      </c>
      <c r="B64" s="109" t="str">
        <f>Données!B64</f>
        <v>La Sarraz</v>
      </c>
      <c r="C64" s="304">
        <f>Données!C64</f>
        <v>2609</v>
      </c>
      <c r="D64" s="300">
        <f t="shared" si="5"/>
        <v>1000</v>
      </c>
      <c r="E64" s="300">
        <f t="shared" si="12"/>
        <v>1609</v>
      </c>
      <c r="F64" s="305">
        <f t="shared" si="12"/>
        <v>0</v>
      </c>
      <c r="G64" s="299">
        <f t="shared" si="12"/>
        <v>0</v>
      </c>
      <c r="H64" s="300">
        <f t="shared" ref="E64:J106" si="13">IF($C64&lt;H$4,0,IF($C64&gt;H$5,H$5-H$4,$C64-H$4))</f>
        <v>0</v>
      </c>
      <c r="I64" s="305">
        <f t="shared" si="13"/>
        <v>0</v>
      </c>
      <c r="J64" s="305">
        <f t="shared" si="13"/>
        <v>0</v>
      </c>
      <c r="K64" s="306">
        <f t="shared" si="6"/>
        <v>0</v>
      </c>
      <c r="L64" s="305">
        <f t="shared" si="7"/>
        <v>6827</v>
      </c>
      <c r="M64" s="431">
        <f>Données!AE64</f>
        <v>0</v>
      </c>
      <c r="N64" s="433">
        <v>0</v>
      </c>
      <c r="O64" s="300">
        <f t="shared" si="8"/>
        <v>2609</v>
      </c>
      <c r="P64" s="305">
        <f t="shared" si="9"/>
        <v>6827</v>
      </c>
      <c r="Q64" s="306">
        <f t="shared" si="2"/>
        <v>80846.076630187003</v>
      </c>
      <c r="R64" s="305">
        <f t="shared" si="3"/>
        <v>177129.44392810925</v>
      </c>
      <c r="S64" s="299">
        <f t="shared" si="4"/>
        <v>171275.41495234324</v>
      </c>
      <c r="T64" s="305">
        <f t="shared" si="10"/>
        <v>0</v>
      </c>
      <c r="U64" s="428">
        <f t="shared" si="11"/>
        <v>429250.93551063945</v>
      </c>
    </row>
    <row r="65" spans="1:21" x14ac:dyDescent="0.25">
      <c r="A65" s="108">
        <f>Données!A65</f>
        <v>5499</v>
      </c>
      <c r="B65" s="109" t="str">
        <f>Données!B65</f>
        <v>Senarclens</v>
      </c>
      <c r="C65" s="304">
        <f>Données!C65</f>
        <v>505</v>
      </c>
      <c r="D65" s="300">
        <f t="shared" si="5"/>
        <v>505</v>
      </c>
      <c r="E65" s="300">
        <f t="shared" si="13"/>
        <v>0</v>
      </c>
      <c r="F65" s="305">
        <f t="shared" si="13"/>
        <v>0</v>
      </c>
      <c r="G65" s="299">
        <f t="shared" si="13"/>
        <v>0</v>
      </c>
      <c r="H65" s="300">
        <f t="shared" si="13"/>
        <v>0</v>
      </c>
      <c r="I65" s="305">
        <f t="shared" si="13"/>
        <v>0</v>
      </c>
      <c r="J65" s="305">
        <f t="shared" si="13"/>
        <v>0</v>
      </c>
      <c r="K65" s="306">
        <f t="shared" si="6"/>
        <v>0</v>
      </c>
      <c r="L65" s="305">
        <f t="shared" si="7"/>
        <v>1010</v>
      </c>
      <c r="M65" s="431">
        <f>Données!AE65</f>
        <v>0</v>
      </c>
      <c r="N65" s="433">
        <v>0</v>
      </c>
      <c r="O65" s="300">
        <f t="shared" si="8"/>
        <v>505</v>
      </c>
      <c r="P65" s="305">
        <f t="shared" si="9"/>
        <v>1010</v>
      </c>
      <c r="Q65" s="306">
        <f t="shared" si="2"/>
        <v>15648.627327805458</v>
      </c>
      <c r="R65" s="305">
        <f t="shared" si="3"/>
        <v>34285.308234455799</v>
      </c>
      <c r="S65" s="299">
        <f t="shared" si="4"/>
        <v>25338.826585889365</v>
      </c>
      <c r="T65" s="305">
        <f t="shared" si="10"/>
        <v>0</v>
      </c>
      <c r="U65" s="428">
        <f t="shared" si="11"/>
        <v>75272.762148150621</v>
      </c>
    </row>
    <row r="66" spans="1:21" x14ac:dyDescent="0.25">
      <c r="A66" s="108">
        <f>Données!A66</f>
        <v>5501</v>
      </c>
      <c r="B66" s="109" t="str">
        <f>Données!B66</f>
        <v>Sullens</v>
      </c>
      <c r="C66" s="304">
        <f>Données!C66</f>
        <v>1282</v>
      </c>
      <c r="D66" s="300">
        <f t="shared" si="5"/>
        <v>1000</v>
      </c>
      <c r="E66" s="300">
        <f t="shared" si="13"/>
        <v>282</v>
      </c>
      <c r="F66" s="305">
        <f t="shared" si="13"/>
        <v>0</v>
      </c>
      <c r="G66" s="299">
        <f t="shared" si="13"/>
        <v>0</v>
      </c>
      <c r="H66" s="300">
        <f t="shared" si="13"/>
        <v>0</v>
      </c>
      <c r="I66" s="305">
        <f t="shared" si="13"/>
        <v>0</v>
      </c>
      <c r="J66" s="305">
        <f t="shared" si="13"/>
        <v>0</v>
      </c>
      <c r="K66" s="306">
        <f t="shared" si="6"/>
        <v>0</v>
      </c>
      <c r="L66" s="305">
        <f t="shared" si="7"/>
        <v>2846</v>
      </c>
      <c r="M66" s="431">
        <f>Données!AE66</f>
        <v>0</v>
      </c>
      <c r="N66" s="433">
        <v>0</v>
      </c>
      <c r="O66" s="300">
        <f t="shared" si="8"/>
        <v>1282</v>
      </c>
      <c r="P66" s="305">
        <f t="shared" si="9"/>
        <v>2846</v>
      </c>
      <c r="Q66" s="306">
        <f t="shared" si="2"/>
        <v>39725.822246032862</v>
      </c>
      <c r="R66" s="305">
        <f t="shared" si="3"/>
        <v>87037.158725885805</v>
      </c>
      <c r="S66" s="299">
        <f t="shared" si="4"/>
        <v>71400.297488555574</v>
      </c>
      <c r="T66" s="305">
        <f t="shared" si="10"/>
        <v>0</v>
      </c>
      <c r="U66" s="428">
        <f t="shared" si="11"/>
        <v>198163.27846047425</v>
      </c>
    </row>
    <row r="67" spans="1:21" x14ac:dyDescent="0.25">
      <c r="A67" s="108">
        <f>Données!A67</f>
        <v>5503</v>
      </c>
      <c r="B67" s="109" t="str">
        <f>Données!B67</f>
        <v>Vufflens-la-Ville</v>
      </c>
      <c r="C67" s="304">
        <f>Données!C67</f>
        <v>1327</v>
      </c>
      <c r="D67" s="300">
        <f t="shared" si="5"/>
        <v>1000</v>
      </c>
      <c r="E67" s="300">
        <f t="shared" si="13"/>
        <v>327</v>
      </c>
      <c r="F67" s="305">
        <f t="shared" si="13"/>
        <v>0</v>
      </c>
      <c r="G67" s="299">
        <f t="shared" si="13"/>
        <v>0</v>
      </c>
      <c r="H67" s="300">
        <f t="shared" si="13"/>
        <v>0</v>
      </c>
      <c r="I67" s="305">
        <f t="shared" si="13"/>
        <v>0</v>
      </c>
      <c r="J67" s="305">
        <f t="shared" si="13"/>
        <v>0</v>
      </c>
      <c r="K67" s="306">
        <f t="shared" si="6"/>
        <v>0</v>
      </c>
      <c r="L67" s="305">
        <f t="shared" si="7"/>
        <v>2981</v>
      </c>
      <c r="M67" s="431">
        <f>Données!AE67</f>
        <v>0</v>
      </c>
      <c r="N67" s="433">
        <v>0</v>
      </c>
      <c r="O67" s="300">
        <f t="shared" si="8"/>
        <v>1327</v>
      </c>
      <c r="P67" s="305">
        <f t="shared" si="9"/>
        <v>2981</v>
      </c>
      <c r="Q67" s="306">
        <f t="shared" si="2"/>
        <v>41120.254384154141</v>
      </c>
      <c r="R67" s="305">
        <f t="shared" si="3"/>
        <v>90092.285202223458</v>
      </c>
      <c r="S67" s="299">
        <f t="shared" si="4"/>
        <v>74787.170349045729</v>
      </c>
      <c r="T67" s="305">
        <f t="shared" si="10"/>
        <v>0</v>
      </c>
      <c r="U67" s="428">
        <f t="shared" si="11"/>
        <v>205999.70993542334</v>
      </c>
    </row>
    <row r="68" spans="1:21" x14ac:dyDescent="0.25">
      <c r="A68" s="108">
        <f>Données!A68</f>
        <v>5511</v>
      </c>
      <c r="B68" s="109" t="str">
        <f>Données!B68</f>
        <v>Assens</v>
      </c>
      <c r="C68" s="304">
        <f>Données!C68</f>
        <v>1747</v>
      </c>
      <c r="D68" s="300">
        <f t="shared" si="5"/>
        <v>1000</v>
      </c>
      <c r="E68" s="300">
        <f t="shared" si="13"/>
        <v>747</v>
      </c>
      <c r="F68" s="305">
        <f t="shared" si="13"/>
        <v>0</v>
      </c>
      <c r="G68" s="299">
        <f t="shared" si="13"/>
        <v>0</v>
      </c>
      <c r="H68" s="300">
        <f t="shared" si="13"/>
        <v>0</v>
      </c>
      <c r="I68" s="305">
        <f t="shared" si="13"/>
        <v>0</v>
      </c>
      <c r="J68" s="305">
        <f t="shared" si="13"/>
        <v>0</v>
      </c>
      <c r="K68" s="306">
        <f t="shared" si="6"/>
        <v>0</v>
      </c>
      <c r="L68" s="305">
        <f t="shared" si="7"/>
        <v>4241</v>
      </c>
      <c r="M68" s="431">
        <f>Données!AE68</f>
        <v>0</v>
      </c>
      <c r="N68" s="433">
        <v>0</v>
      </c>
      <c r="O68" s="300">
        <f t="shared" si="8"/>
        <v>1747</v>
      </c>
      <c r="P68" s="305">
        <f t="shared" si="9"/>
        <v>4241</v>
      </c>
      <c r="Q68" s="306">
        <f t="shared" si="2"/>
        <v>54134.954339952739</v>
      </c>
      <c r="R68" s="305">
        <f t="shared" si="3"/>
        <v>118606.79898137481</v>
      </c>
      <c r="S68" s="299">
        <f t="shared" si="4"/>
        <v>106397.98371362059</v>
      </c>
      <c r="T68" s="305">
        <f t="shared" si="10"/>
        <v>0</v>
      </c>
      <c r="U68" s="428">
        <f t="shared" si="11"/>
        <v>279139.73703494814</v>
      </c>
    </row>
    <row r="69" spans="1:21" x14ac:dyDescent="0.25">
      <c r="A69" s="108">
        <f>Données!A69</f>
        <v>5512</v>
      </c>
      <c r="B69" s="109" t="str">
        <f>Données!B69</f>
        <v>Bercher</v>
      </c>
      <c r="C69" s="304">
        <f>Données!C69</f>
        <v>1359</v>
      </c>
      <c r="D69" s="300">
        <f t="shared" si="5"/>
        <v>1000</v>
      </c>
      <c r="E69" s="300">
        <f t="shared" si="13"/>
        <v>359</v>
      </c>
      <c r="F69" s="305">
        <f t="shared" si="13"/>
        <v>0</v>
      </c>
      <c r="G69" s="299">
        <f t="shared" si="13"/>
        <v>0</v>
      </c>
      <c r="H69" s="300">
        <f t="shared" si="13"/>
        <v>0</v>
      </c>
      <c r="I69" s="305">
        <f t="shared" si="13"/>
        <v>0</v>
      </c>
      <c r="J69" s="305">
        <f t="shared" si="13"/>
        <v>0</v>
      </c>
      <c r="K69" s="306">
        <f t="shared" si="6"/>
        <v>0</v>
      </c>
      <c r="L69" s="305">
        <f t="shared" si="7"/>
        <v>3077</v>
      </c>
      <c r="M69" s="431">
        <f>Données!AE69</f>
        <v>0</v>
      </c>
      <c r="N69" s="433">
        <v>0</v>
      </c>
      <c r="O69" s="300">
        <f t="shared" si="8"/>
        <v>1359</v>
      </c>
      <c r="P69" s="305">
        <f t="shared" si="9"/>
        <v>3077</v>
      </c>
      <c r="Q69" s="306">
        <f t="shared" si="2"/>
        <v>42111.850571262607</v>
      </c>
      <c r="R69" s="305">
        <f t="shared" si="3"/>
        <v>92264.819585396894</v>
      </c>
      <c r="S69" s="299">
        <f t="shared" si="4"/>
        <v>77195.61327206096</v>
      </c>
      <c r="T69" s="305">
        <f t="shared" si="10"/>
        <v>0</v>
      </c>
      <c r="U69" s="428">
        <f t="shared" si="11"/>
        <v>211572.28342872046</v>
      </c>
    </row>
    <row r="70" spans="1:21" x14ac:dyDescent="0.25">
      <c r="A70" s="108">
        <f>Données!A70</f>
        <v>5514</v>
      </c>
      <c r="B70" s="109" t="str">
        <f>Données!B70</f>
        <v>Bottens</v>
      </c>
      <c r="C70" s="304">
        <f>Données!C70</f>
        <v>1389</v>
      </c>
      <c r="D70" s="300">
        <f t="shared" si="5"/>
        <v>1000</v>
      </c>
      <c r="E70" s="300">
        <f t="shared" si="13"/>
        <v>389</v>
      </c>
      <c r="F70" s="305">
        <f t="shared" si="13"/>
        <v>0</v>
      </c>
      <c r="G70" s="299">
        <f t="shared" si="13"/>
        <v>0</v>
      </c>
      <c r="H70" s="300">
        <f t="shared" si="13"/>
        <v>0</v>
      </c>
      <c r="I70" s="305">
        <f t="shared" si="13"/>
        <v>0</v>
      </c>
      <c r="J70" s="305">
        <f t="shared" si="13"/>
        <v>0</v>
      </c>
      <c r="K70" s="306">
        <f t="shared" si="6"/>
        <v>0</v>
      </c>
      <c r="L70" s="305">
        <f t="shared" si="7"/>
        <v>3167</v>
      </c>
      <c r="M70" s="431">
        <f>Données!AE70</f>
        <v>0</v>
      </c>
      <c r="N70" s="433">
        <v>0</v>
      </c>
      <c r="O70" s="300">
        <f t="shared" ref="O70:O133" si="14">IF(N70=0,C70,0)</f>
        <v>1389</v>
      </c>
      <c r="P70" s="305">
        <f t="shared" si="9"/>
        <v>3167</v>
      </c>
      <c r="Q70" s="306">
        <f t="shared" si="2"/>
        <v>43041.471996676795</v>
      </c>
      <c r="R70" s="305">
        <f t="shared" si="3"/>
        <v>94301.570569621981</v>
      </c>
      <c r="S70" s="299">
        <f t="shared" si="4"/>
        <v>79453.52851238774</v>
      </c>
      <c r="T70" s="305">
        <f t="shared" si="10"/>
        <v>0</v>
      </c>
      <c r="U70" s="428">
        <f t="shared" si="11"/>
        <v>216796.57107868651</v>
      </c>
    </row>
    <row r="71" spans="1:21" x14ac:dyDescent="0.25">
      <c r="A71" s="108">
        <f>Données!A71</f>
        <v>5515</v>
      </c>
      <c r="B71" s="109" t="str">
        <f>Données!B71</f>
        <v>Bretigny-sur-Morrens</v>
      </c>
      <c r="C71" s="304">
        <f>Données!C71</f>
        <v>893</v>
      </c>
      <c r="D71" s="300">
        <f t="shared" ref="D71:D134" si="15">IF(C71&gt;$D$5,$D$5-$D$4,C71)</f>
        <v>893</v>
      </c>
      <c r="E71" s="300">
        <f t="shared" si="13"/>
        <v>0</v>
      </c>
      <c r="F71" s="305">
        <f t="shared" si="13"/>
        <v>0</v>
      </c>
      <c r="G71" s="299">
        <f t="shared" si="13"/>
        <v>0</v>
      </c>
      <c r="H71" s="300">
        <f t="shared" si="13"/>
        <v>0</v>
      </c>
      <c r="I71" s="305">
        <f t="shared" si="13"/>
        <v>0</v>
      </c>
      <c r="J71" s="305">
        <f t="shared" si="13"/>
        <v>0</v>
      </c>
      <c r="K71" s="306">
        <f t="shared" ref="K71:K134" si="16">IF($C71&lt;K$4,0,$C71-K$4)</f>
        <v>0</v>
      </c>
      <c r="L71" s="305">
        <f t="shared" ref="L71:L134" si="17">SUMPRODUCT($D$6:$K$6,D71:K71)</f>
        <v>1786</v>
      </c>
      <c r="M71" s="431">
        <f>Données!AE71</f>
        <v>0</v>
      </c>
      <c r="N71" s="433">
        <v>0</v>
      </c>
      <c r="O71" s="300">
        <f t="shared" si="14"/>
        <v>893</v>
      </c>
      <c r="P71" s="305">
        <f t="shared" ref="P71:P134" si="18">IF(N71=0,L71,0)</f>
        <v>1786</v>
      </c>
      <c r="Q71" s="306">
        <f t="shared" si="2"/>
        <v>27671.73109649559</v>
      </c>
      <c r="R71" s="305">
        <f t="shared" si="3"/>
        <v>60627.287630433719</v>
      </c>
      <c r="S71" s="299">
        <f t="shared" si="4"/>
        <v>44807.07354692911</v>
      </c>
      <c r="T71" s="305">
        <f t="shared" si="10"/>
        <v>0</v>
      </c>
      <c r="U71" s="428">
        <f t="shared" ref="U71:U134" si="19">SUM(Q71:T71)</f>
        <v>133106.09227385843</v>
      </c>
    </row>
    <row r="72" spans="1:21" x14ac:dyDescent="0.25">
      <c r="A72" s="108">
        <f>Données!A72</f>
        <v>5516</v>
      </c>
      <c r="B72" s="109" t="str">
        <f>Données!B72</f>
        <v>Cugy</v>
      </c>
      <c r="C72" s="304">
        <f>Données!C72</f>
        <v>2824</v>
      </c>
      <c r="D72" s="300">
        <f t="shared" si="15"/>
        <v>1000</v>
      </c>
      <c r="E72" s="300">
        <f t="shared" si="13"/>
        <v>1824</v>
      </c>
      <c r="F72" s="305">
        <f t="shared" si="13"/>
        <v>0</v>
      </c>
      <c r="G72" s="299">
        <f t="shared" si="13"/>
        <v>0</v>
      </c>
      <c r="H72" s="300">
        <f t="shared" si="13"/>
        <v>0</v>
      </c>
      <c r="I72" s="305">
        <f t="shared" si="13"/>
        <v>0</v>
      </c>
      <c r="J72" s="305">
        <f t="shared" si="13"/>
        <v>0</v>
      </c>
      <c r="K72" s="306">
        <f t="shared" si="16"/>
        <v>0</v>
      </c>
      <c r="L72" s="305">
        <f t="shared" si="17"/>
        <v>7472</v>
      </c>
      <c r="M72" s="431">
        <f>Données!AE72</f>
        <v>0</v>
      </c>
      <c r="N72" s="433">
        <v>0</v>
      </c>
      <c r="O72" s="300">
        <f t="shared" si="14"/>
        <v>2824</v>
      </c>
      <c r="P72" s="305">
        <f t="shared" si="18"/>
        <v>7472</v>
      </c>
      <c r="Q72" s="306">
        <f t="shared" ref="Q72:Q135" si="20">$Q$6/$C$302*C72</f>
        <v>87508.363512322001</v>
      </c>
      <c r="R72" s="305">
        <f t="shared" ref="R72:R135" si="21">$R$6/$O$302*O72</f>
        <v>191726.15931505579</v>
      </c>
      <c r="S72" s="299">
        <f t="shared" ref="S72:S135" si="22">$S$6/$P$302*P72</f>
        <v>187457.14084135179</v>
      </c>
      <c r="T72" s="305">
        <f t="shared" si="10"/>
        <v>0</v>
      </c>
      <c r="U72" s="428">
        <f t="shared" si="19"/>
        <v>466691.6636687296</v>
      </c>
    </row>
    <row r="73" spans="1:21" x14ac:dyDescent="0.25">
      <c r="A73" s="108">
        <f>Données!A73</f>
        <v>5518</v>
      </c>
      <c r="B73" s="109" t="str">
        <f>Données!B73</f>
        <v>Echallens</v>
      </c>
      <c r="C73" s="304">
        <f>Données!C73</f>
        <v>6816</v>
      </c>
      <c r="D73" s="300">
        <f t="shared" si="15"/>
        <v>1000</v>
      </c>
      <c r="E73" s="300">
        <f t="shared" si="13"/>
        <v>2000</v>
      </c>
      <c r="F73" s="305">
        <f t="shared" si="13"/>
        <v>2000</v>
      </c>
      <c r="G73" s="299">
        <f t="shared" si="13"/>
        <v>1816</v>
      </c>
      <c r="H73" s="300">
        <f t="shared" si="13"/>
        <v>0</v>
      </c>
      <c r="I73" s="305">
        <f t="shared" si="13"/>
        <v>0</v>
      </c>
      <c r="J73" s="305">
        <f t="shared" si="13"/>
        <v>0</v>
      </c>
      <c r="K73" s="306">
        <f t="shared" si="16"/>
        <v>0</v>
      </c>
      <c r="L73" s="305">
        <f t="shared" si="17"/>
        <v>22264</v>
      </c>
      <c r="M73" s="431">
        <f>Données!AE73</f>
        <v>0</v>
      </c>
      <c r="N73" s="433">
        <v>0</v>
      </c>
      <c r="O73" s="300">
        <f t="shared" si="14"/>
        <v>6816</v>
      </c>
      <c r="P73" s="305">
        <f t="shared" si="18"/>
        <v>22264</v>
      </c>
      <c r="Q73" s="306">
        <f t="shared" si="20"/>
        <v>211209.98785410298</v>
      </c>
      <c r="R73" s="305">
        <f t="shared" si="21"/>
        <v>462749.82361594203</v>
      </c>
      <c r="S73" s="299">
        <f t="shared" si="22"/>
        <v>558558.05456261465</v>
      </c>
      <c r="T73" s="305">
        <f t="shared" ref="T73:T136" si="23">IF(M73&gt;N73,(-R73-S73)*(M73-N73),IF(M73&lt;N73,(C73*$R$305+L73*$S$305)*(N73-M73),IF(M73=N73,0,"Erreur")))</f>
        <v>0</v>
      </c>
      <c r="U73" s="428">
        <f t="shared" si="19"/>
        <v>1232517.8660326595</v>
      </c>
    </row>
    <row r="74" spans="1:21" x14ac:dyDescent="0.25">
      <c r="A74" s="108">
        <f>Données!A74</f>
        <v>5520</v>
      </c>
      <c r="B74" s="109" t="str">
        <f>Données!B74</f>
        <v>Essertines-sur-Yverdon</v>
      </c>
      <c r="C74" s="304">
        <f>Données!C74</f>
        <v>1183</v>
      </c>
      <c r="D74" s="300">
        <f t="shared" si="15"/>
        <v>1000</v>
      </c>
      <c r="E74" s="300">
        <f t="shared" si="13"/>
        <v>183</v>
      </c>
      <c r="F74" s="305">
        <f t="shared" si="13"/>
        <v>0</v>
      </c>
      <c r="G74" s="299">
        <f t="shared" si="13"/>
        <v>0</v>
      </c>
      <c r="H74" s="300">
        <f t="shared" si="13"/>
        <v>0</v>
      </c>
      <c r="I74" s="305">
        <f t="shared" si="13"/>
        <v>0</v>
      </c>
      <c r="J74" s="305">
        <f t="shared" si="13"/>
        <v>0</v>
      </c>
      <c r="K74" s="306">
        <f t="shared" si="16"/>
        <v>0</v>
      </c>
      <c r="L74" s="305">
        <f t="shared" si="17"/>
        <v>2549</v>
      </c>
      <c r="M74" s="431">
        <f>Données!AE74</f>
        <v>0</v>
      </c>
      <c r="N74" s="433">
        <v>0</v>
      </c>
      <c r="O74" s="300">
        <f t="shared" si="14"/>
        <v>1183</v>
      </c>
      <c r="P74" s="305">
        <f t="shared" si="18"/>
        <v>2549</v>
      </c>
      <c r="Q74" s="306">
        <f t="shared" si="20"/>
        <v>36658.07154216605</v>
      </c>
      <c r="R74" s="305">
        <f t="shared" si="21"/>
        <v>80315.880477942992</v>
      </c>
      <c r="S74" s="299">
        <f t="shared" si="22"/>
        <v>63949.177195477212</v>
      </c>
      <c r="T74" s="305">
        <f t="shared" si="23"/>
        <v>0</v>
      </c>
      <c r="U74" s="428">
        <f t="shared" si="19"/>
        <v>180923.12921558626</v>
      </c>
    </row>
    <row r="75" spans="1:21" x14ac:dyDescent="0.25">
      <c r="A75" s="108">
        <f>Données!A75</f>
        <v>5521</v>
      </c>
      <c r="B75" s="109" t="str">
        <f>Données!B75</f>
        <v>Etagnières</v>
      </c>
      <c r="C75" s="304">
        <f>Données!C75</f>
        <v>1168</v>
      </c>
      <c r="D75" s="300">
        <f t="shared" si="15"/>
        <v>1000</v>
      </c>
      <c r="E75" s="300">
        <f t="shared" si="13"/>
        <v>168</v>
      </c>
      <c r="F75" s="305">
        <f t="shared" si="13"/>
        <v>0</v>
      </c>
      <c r="G75" s="299">
        <f t="shared" si="13"/>
        <v>0</v>
      </c>
      <c r="H75" s="300">
        <f t="shared" si="13"/>
        <v>0</v>
      </c>
      <c r="I75" s="305">
        <f t="shared" si="13"/>
        <v>0</v>
      </c>
      <c r="J75" s="305">
        <f t="shared" si="13"/>
        <v>0</v>
      </c>
      <c r="K75" s="306">
        <f t="shared" si="16"/>
        <v>0</v>
      </c>
      <c r="L75" s="305">
        <f t="shared" si="17"/>
        <v>2504</v>
      </c>
      <c r="M75" s="431">
        <f>Données!AE75</f>
        <v>0</v>
      </c>
      <c r="N75" s="433">
        <v>0</v>
      </c>
      <c r="O75" s="300">
        <f t="shared" si="14"/>
        <v>1168</v>
      </c>
      <c r="P75" s="305">
        <f t="shared" si="18"/>
        <v>2504</v>
      </c>
      <c r="Q75" s="306">
        <f t="shared" si="20"/>
        <v>36193.260829458959</v>
      </c>
      <c r="R75" s="305">
        <f t="shared" si="21"/>
        <v>79297.504985830441</v>
      </c>
      <c r="S75" s="299">
        <f t="shared" si="22"/>
        <v>62820.219575313829</v>
      </c>
      <c r="T75" s="305">
        <f t="shared" si="23"/>
        <v>0</v>
      </c>
      <c r="U75" s="428">
        <f t="shared" si="19"/>
        <v>178310.98539060322</v>
      </c>
    </row>
    <row r="76" spans="1:21" x14ac:dyDescent="0.25">
      <c r="A76" s="108">
        <f>Données!A76</f>
        <v>5522</v>
      </c>
      <c r="B76" s="109" t="str">
        <f>Données!B76</f>
        <v>Fey</v>
      </c>
      <c r="C76" s="304">
        <f>Données!C76</f>
        <v>791</v>
      </c>
      <c r="D76" s="300">
        <f t="shared" si="15"/>
        <v>791</v>
      </c>
      <c r="E76" s="300">
        <f t="shared" si="13"/>
        <v>0</v>
      </c>
      <c r="F76" s="305">
        <f t="shared" si="13"/>
        <v>0</v>
      </c>
      <c r="G76" s="299">
        <f t="shared" si="13"/>
        <v>0</v>
      </c>
      <c r="H76" s="300">
        <f t="shared" si="13"/>
        <v>0</v>
      </c>
      <c r="I76" s="305">
        <f t="shared" si="13"/>
        <v>0</v>
      </c>
      <c r="J76" s="305">
        <f t="shared" si="13"/>
        <v>0</v>
      </c>
      <c r="K76" s="306">
        <f t="shared" si="16"/>
        <v>0</v>
      </c>
      <c r="L76" s="305">
        <f t="shared" si="17"/>
        <v>1582</v>
      </c>
      <c r="M76" s="431">
        <f>Données!AE76</f>
        <v>0</v>
      </c>
      <c r="N76" s="433">
        <v>0</v>
      </c>
      <c r="O76" s="300">
        <f t="shared" si="14"/>
        <v>791</v>
      </c>
      <c r="P76" s="305">
        <f t="shared" si="18"/>
        <v>1582</v>
      </c>
      <c r="Q76" s="306">
        <f t="shared" si="20"/>
        <v>24511.01825008736</v>
      </c>
      <c r="R76" s="305">
        <f t="shared" si="21"/>
        <v>53702.334284068391</v>
      </c>
      <c r="S76" s="299">
        <f t="shared" si="22"/>
        <v>39689.132335521754</v>
      </c>
      <c r="T76" s="305">
        <f t="shared" si="23"/>
        <v>0</v>
      </c>
      <c r="U76" s="428">
        <f t="shared" si="19"/>
        <v>117902.48486967752</v>
      </c>
    </row>
    <row r="77" spans="1:21" x14ac:dyDescent="0.25">
      <c r="A77" s="108">
        <f>Données!A77</f>
        <v>5523</v>
      </c>
      <c r="B77" s="109" t="str">
        <f>Données!B77</f>
        <v>Froideville</v>
      </c>
      <c r="C77" s="304">
        <f>Données!C77</f>
        <v>2713</v>
      </c>
      <c r="D77" s="300">
        <f t="shared" si="15"/>
        <v>1000</v>
      </c>
      <c r="E77" s="300">
        <f t="shared" si="13"/>
        <v>1713</v>
      </c>
      <c r="F77" s="305">
        <f t="shared" si="13"/>
        <v>0</v>
      </c>
      <c r="G77" s="299">
        <f t="shared" si="13"/>
        <v>0</v>
      </c>
      <c r="H77" s="300">
        <f t="shared" si="13"/>
        <v>0</v>
      </c>
      <c r="I77" s="305">
        <f t="shared" si="13"/>
        <v>0</v>
      </c>
      <c r="J77" s="305">
        <f t="shared" si="13"/>
        <v>0</v>
      </c>
      <c r="K77" s="306">
        <f t="shared" si="16"/>
        <v>0</v>
      </c>
      <c r="L77" s="305">
        <f t="shared" si="17"/>
        <v>7139</v>
      </c>
      <c r="M77" s="431">
        <f>Données!AE77</f>
        <v>0</v>
      </c>
      <c r="N77" s="433">
        <v>0</v>
      </c>
      <c r="O77" s="300">
        <f t="shared" si="14"/>
        <v>2713</v>
      </c>
      <c r="P77" s="305">
        <f t="shared" si="18"/>
        <v>7139</v>
      </c>
      <c r="Q77" s="306">
        <f t="shared" si="20"/>
        <v>84068.764238289514</v>
      </c>
      <c r="R77" s="305">
        <f t="shared" si="21"/>
        <v>184190.18067342293</v>
      </c>
      <c r="S77" s="299">
        <f t="shared" si="22"/>
        <v>179102.85445214272</v>
      </c>
      <c r="T77" s="305">
        <f t="shared" si="23"/>
        <v>0</v>
      </c>
      <c r="U77" s="428">
        <f t="shared" si="19"/>
        <v>447361.79936385516</v>
      </c>
    </row>
    <row r="78" spans="1:21" x14ac:dyDescent="0.25">
      <c r="A78" s="108">
        <f>Données!A78</f>
        <v>5527</v>
      </c>
      <c r="B78" s="109" t="str">
        <f>Données!B78</f>
        <v>Morrens</v>
      </c>
      <c r="C78" s="304">
        <f>Données!C78</f>
        <v>1145</v>
      </c>
      <c r="D78" s="300">
        <f t="shared" si="15"/>
        <v>1000</v>
      </c>
      <c r="E78" s="300">
        <f t="shared" si="13"/>
        <v>145</v>
      </c>
      <c r="F78" s="305">
        <f t="shared" si="13"/>
        <v>0</v>
      </c>
      <c r="G78" s="299">
        <f t="shared" si="13"/>
        <v>0</v>
      </c>
      <c r="H78" s="300">
        <f t="shared" si="13"/>
        <v>0</v>
      </c>
      <c r="I78" s="305">
        <f t="shared" si="13"/>
        <v>0</v>
      </c>
      <c r="J78" s="305">
        <f t="shared" si="13"/>
        <v>0</v>
      </c>
      <c r="K78" s="306">
        <f t="shared" si="16"/>
        <v>0</v>
      </c>
      <c r="L78" s="305">
        <f t="shared" si="17"/>
        <v>2435</v>
      </c>
      <c r="M78" s="431">
        <f>Données!AE78</f>
        <v>0</v>
      </c>
      <c r="N78" s="433">
        <v>0</v>
      </c>
      <c r="O78" s="300">
        <f t="shared" si="14"/>
        <v>1145</v>
      </c>
      <c r="P78" s="305">
        <f t="shared" si="18"/>
        <v>2435</v>
      </c>
      <c r="Q78" s="306">
        <f t="shared" si="20"/>
        <v>35480.551069974746</v>
      </c>
      <c r="R78" s="305">
        <f t="shared" si="21"/>
        <v>77735.995897924528</v>
      </c>
      <c r="S78" s="299">
        <f t="shared" si="22"/>
        <v>61089.151224396635</v>
      </c>
      <c r="T78" s="305">
        <f t="shared" si="23"/>
        <v>0</v>
      </c>
      <c r="U78" s="428">
        <f t="shared" si="19"/>
        <v>174305.69819229591</v>
      </c>
    </row>
    <row r="79" spans="1:21" x14ac:dyDescent="0.25">
      <c r="A79" s="108">
        <f>Données!A79</f>
        <v>5529</v>
      </c>
      <c r="B79" s="109" t="str">
        <f>Données!B79</f>
        <v>Oulens-sous-Echallens</v>
      </c>
      <c r="C79" s="304">
        <f>Données!C79</f>
        <v>609</v>
      </c>
      <c r="D79" s="300">
        <f t="shared" si="15"/>
        <v>609</v>
      </c>
      <c r="E79" s="300">
        <f t="shared" si="13"/>
        <v>0</v>
      </c>
      <c r="F79" s="305">
        <f t="shared" si="13"/>
        <v>0</v>
      </c>
      <c r="G79" s="299">
        <f t="shared" si="13"/>
        <v>0</v>
      </c>
      <c r="H79" s="300">
        <f t="shared" si="13"/>
        <v>0</v>
      </c>
      <c r="I79" s="305">
        <f t="shared" si="13"/>
        <v>0</v>
      </c>
      <c r="J79" s="305">
        <f t="shared" si="13"/>
        <v>0</v>
      </c>
      <c r="K79" s="306">
        <f t="shared" si="16"/>
        <v>0</v>
      </c>
      <c r="L79" s="305">
        <f t="shared" si="17"/>
        <v>1218</v>
      </c>
      <c r="M79" s="431">
        <f>Données!AE79</f>
        <v>0</v>
      </c>
      <c r="N79" s="433">
        <v>0</v>
      </c>
      <c r="O79" s="300">
        <f t="shared" si="14"/>
        <v>609</v>
      </c>
      <c r="P79" s="305">
        <f t="shared" si="18"/>
        <v>1218</v>
      </c>
      <c r="Q79" s="306">
        <f t="shared" si="20"/>
        <v>18871.314935907969</v>
      </c>
      <c r="R79" s="305">
        <f t="shared" si="21"/>
        <v>41346.044979769467</v>
      </c>
      <c r="S79" s="299">
        <f t="shared" si="22"/>
        <v>30557.119585755689</v>
      </c>
      <c r="T79" s="305">
        <f t="shared" si="23"/>
        <v>0</v>
      </c>
      <c r="U79" s="428">
        <f t="shared" si="19"/>
        <v>90774.479501433118</v>
      </c>
    </row>
    <row r="80" spans="1:21" x14ac:dyDescent="0.25">
      <c r="A80" s="108">
        <f>Données!A80</f>
        <v>5530</v>
      </c>
      <c r="B80" s="109" t="str">
        <f>Données!B80</f>
        <v>Pailly</v>
      </c>
      <c r="C80" s="304">
        <f>Données!C80</f>
        <v>575</v>
      </c>
      <c r="D80" s="300">
        <f t="shared" si="15"/>
        <v>575</v>
      </c>
      <c r="E80" s="300">
        <f t="shared" si="13"/>
        <v>0</v>
      </c>
      <c r="F80" s="305">
        <f t="shared" si="13"/>
        <v>0</v>
      </c>
      <c r="G80" s="299">
        <f t="shared" si="13"/>
        <v>0</v>
      </c>
      <c r="H80" s="300">
        <f t="shared" si="13"/>
        <v>0</v>
      </c>
      <c r="I80" s="305">
        <f t="shared" si="13"/>
        <v>0</v>
      </c>
      <c r="J80" s="305">
        <f t="shared" si="13"/>
        <v>0</v>
      </c>
      <c r="K80" s="306">
        <f t="shared" si="16"/>
        <v>0</v>
      </c>
      <c r="L80" s="305">
        <f t="shared" si="17"/>
        <v>1150</v>
      </c>
      <c r="M80" s="431">
        <f>Données!AE80</f>
        <v>0</v>
      </c>
      <c r="N80" s="433">
        <v>0</v>
      </c>
      <c r="O80" s="300">
        <f t="shared" si="14"/>
        <v>575</v>
      </c>
      <c r="P80" s="305">
        <f t="shared" si="18"/>
        <v>1150</v>
      </c>
      <c r="Q80" s="306">
        <f t="shared" si="20"/>
        <v>17817.743987105223</v>
      </c>
      <c r="R80" s="305">
        <f t="shared" si="21"/>
        <v>39037.727197647691</v>
      </c>
      <c r="S80" s="299">
        <f t="shared" si="22"/>
        <v>28851.139181953236</v>
      </c>
      <c r="T80" s="305">
        <f t="shared" si="23"/>
        <v>0</v>
      </c>
      <c r="U80" s="428">
        <f t="shared" si="19"/>
        <v>85706.610366706154</v>
      </c>
    </row>
    <row r="81" spans="1:21" x14ac:dyDescent="0.25">
      <c r="A81" s="108">
        <f>Données!A81</f>
        <v>5531</v>
      </c>
      <c r="B81" s="109" t="str">
        <f>Données!B81</f>
        <v>Penthéréaz</v>
      </c>
      <c r="C81" s="304">
        <f>Données!C81</f>
        <v>446</v>
      </c>
      <c r="D81" s="300">
        <f t="shared" si="15"/>
        <v>446</v>
      </c>
      <c r="E81" s="300">
        <f t="shared" si="13"/>
        <v>0</v>
      </c>
      <c r="F81" s="305">
        <f t="shared" si="13"/>
        <v>0</v>
      </c>
      <c r="G81" s="299">
        <f t="shared" si="13"/>
        <v>0</v>
      </c>
      <c r="H81" s="300">
        <f t="shared" si="13"/>
        <v>0</v>
      </c>
      <c r="I81" s="305">
        <f t="shared" si="13"/>
        <v>0</v>
      </c>
      <c r="J81" s="305">
        <f t="shared" si="13"/>
        <v>0</v>
      </c>
      <c r="K81" s="306">
        <f t="shared" si="16"/>
        <v>0</v>
      </c>
      <c r="L81" s="305">
        <f t="shared" si="17"/>
        <v>892</v>
      </c>
      <c r="M81" s="431">
        <f>Données!AE81</f>
        <v>0</v>
      </c>
      <c r="N81" s="433">
        <v>0</v>
      </c>
      <c r="O81" s="300">
        <f t="shared" si="14"/>
        <v>446</v>
      </c>
      <c r="P81" s="305">
        <f t="shared" si="18"/>
        <v>892</v>
      </c>
      <c r="Q81" s="306">
        <f t="shared" si="20"/>
        <v>13820.371857824226</v>
      </c>
      <c r="R81" s="305">
        <f t="shared" si="21"/>
        <v>30279.697965479772</v>
      </c>
      <c r="S81" s="299">
        <f t="shared" si="22"/>
        <v>22378.448826349813</v>
      </c>
      <c r="T81" s="305">
        <f t="shared" si="23"/>
        <v>0</v>
      </c>
      <c r="U81" s="428">
        <f t="shared" si="19"/>
        <v>66478.518649653823</v>
      </c>
    </row>
    <row r="82" spans="1:21" x14ac:dyDescent="0.25">
      <c r="A82" s="108">
        <f>Données!A82</f>
        <v>5533</v>
      </c>
      <c r="B82" s="109" t="str">
        <f>Données!B82</f>
        <v>Poliez-Pittet</v>
      </c>
      <c r="C82" s="304">
        <f>Données!C82</f>
        <v>847</v>
      </c>
      <c r="D82" s="300">
        <f t="shared" si="15"/>
        <v>847</v>
      </c>
      <c r="E82" s="300">
        <f t="shared" si="13"/>
        <v>0</v>
      </c>
      <c r="F82" s="305">
        <f t="shared" si="13"/>
        <v>0</v>
      </c>
      <c r="G82" s="299">
        <f t="shared" si="13"/>
        <v>0</v>
      </c>
      <c r="H82" s="300">
        <f t="shared" si="13"/>
        <v>0</v>
      </c>
      <c r="I82" s="305">
        <f t="shared" si="13"/>
        <v>0</v>
      </c>
      <c r="J82" s="305">
        <f t="shared" si="13"/>
        <v>0</v>
      </c>
      <c r="K82" s="306">
        <f t="shared" si="16"/>
        <v>0</v>
      </c>
      <c r="L82" s="305">
        <f t="shared" si="17"/>
        <v>1694</v>
      </c>
      <c r="M82" s="431">
        <f>Données!AE82</f>
        <v>0</v>
      </c>
      <c r="N82" s="433">
        <v>0</v>
      </c>
      <c r="O82" s="300">
        <f t="shared" si="14"/>
        <v>847</v>
      </c>
      <c r="P82" s="305">
        <f t="shared" si="18"/>
        <v>1694</v>
      </c>
      <c r="Q82" s="306">
        <f t="shared" si="20"/>
        <v>26246.311577527173</v>
      </c>
      <c r="R82" s="305">
        <f t="shared" si="21"/>
        <v>57504.269454621906</v>
      </c>
      <c r="S82" s="299">
        <f t="shared" si="22"/>
        <v>42498.982412372854</v>
      </c>
      <c r="T82" s="305">
        <f t="shared" si="23"/>
        <v>0</v>
      </c>
      <c r="U82" s="428">
        <f t="shared" si="19"/>
        <v>126249.56344452195</v>
      </c>
    </row>
    <row r="83" spans="1:21" x14ac:dyDescent="0.25">
      <c r="A83" s="108">
        <f>Données!A83</f>
        <v>5534</v>
      </c>
      <c r="B83" s="109" t="str">
        <f>Données!B83</f>
        <v>Rueyres</v>
      </c>
      <c r="C83" s="304">
        <f>Données!C83</f>
        <v>302</v>
      </c>
      <c r="D83" s="300">
        <f t="shared" si="15"/>
        <v>302</v>
      </c>
      <c r="E83" s="300">
        <f t="shared" si="13"/>
        <v>0</v>
      </c>
      <c r="F83" s="305">
        <f t="shared" si="13"/>
        <v>0</v>
      </c>
      <c r="G83" s="299">
        <f t="shared" si="13"/>
        <v>0</v>
      </c>
      <c r="H83" s="300">
        <f t="shared" si="13"/>
        <v>0</v>
      </c>
      <c r="I83" s="305">
        <f t="shared" si="13"/>
        <v>0</v>
      </c>
      <c r="J83" s="305">
        <f t="shared" si="13"/>
        <v>0</v>
      </c>
      <c r="K83" s="306">
        <f t="shared" si="16"/>
        <v>0</v>
      </c>
      <c r="L83" s="305">
        <f t="shared" si="17"/>
        <v>604</v>
      </c>
      <c r="M83" s="431">
        <f>Données!AE83</f>
        <v>0</v>
      </c>
      <c r="N83" s="433">
        <v>0</v>
      </c>
      <c r="O83" s="300">
        <f t="shared" si="14"/>
        <v>302</v>
      </c>
      <c r="P83" s="305">
        <f t="shared" si="18"/>
        <v>604</v>
      </c>
      <c r="Q83" s="306">
        <f t="shared" si="20"/>
        <v>9358.1890158361348</v>
      </c>
      <c r="R83" s="305">
        <f t="shared" si="21"/>
        <v>20503.29324119931</v>
      </c>
      <c r="S83" s="299">
        <f t="shared" si="22"/>
        <v>15153.120057304133</v>
      </c>
      <c r="T83" s="305">
        <f t="shared" si="23"/>
        <v>0</v>
      </c>
      <c r="U83" s="428">
        <f t="shared" si="19"/>
        <v>45014.60231433958</v>
      </c>
    </row>
    <row r="84" spans="1:21" x14ac:dyDescent="0.25">
      <c r="A84" s="108">
        <f>Données!A84</f>
        <v>5535</v>
      </c>
      <c r="B84" s="109" t="str">
        <f>Données!B84</f>
        <v>Saint-Barthélemy</v>
      </c>
      <c r="C84" s="304">
        <f>Données!C84</f>
        <v>838</v>
      </c>
      <c r="D84" s="300">
        <f t="shared" si="15"/>
        <v>838</v>
      </c>
      <c r="E84" s="300">
        <f t="shared" si="13"/>
        <v>0</v>
      </c>
      <c r="F84" s="305">
        <f t="shared" si="13"/>
        <v>0</v>
      </c>
      <c r="G84" s="299">
        <f t="shared" si="13"/>
        <v>0</v>
      </c>
      <c r="H84" s="300">
        <f t="shared" si="13"/>
        <v>0</v>
      </c>
      <c r="I84" s="305">
        <f t="shared" si="13"/>
        <v>0</v>
      </c>
      <c r="J84" s="305">
        <f t="shared" si="13"/>
        <v>0</v>
      </c>
      <c r="K84" s="306">
        <f t="shared" si="16"/>
        <v>0</v>
      </c>
      <c r="L84" s="305">
        <f t="shared" si="17"/>
        <v>1676</v>
      </c>
      <c r="M84" s="431">
        <f>Données!AE84</f>
        <v>0</v>
      </c>
      <c r="N84" s="433">
        <v>0</v>
      </c>
      <c r="O84" s="300">
        <f t="shared" si="14"/>
        <v>838</v>
      </c>
      <c r="P84" s="305">
        <f t="shared" si="18"/>
        <v>1676</v>
      </c>
      <c r="Q84" s="306">
        <f t="shared" si="20"/>
        <v>25967.425149902916</v>
      </c>
      <c r="R84" s="305">
        <f t="shared" si="21"/>
        <v>56893.244159354377</v>
      </c>
      <c r="S84" s="299">
        <f t="shared" si="22"/>
        <v>42047.399364307501</v>
      </c>
      <c r="T84" s="305">
        <f t="shared" si="23"/>
        <v>0</v>
      </c>
      <c r="U84" s="428">
        <f t="shared" si="19"/>
        <v>124908.06867356479</v>
      </c>
    </row>
    <row r="85" spans="1:21" x14ac:dyDescent="0.25">
      <c r="A85" s="108">
        <f>Données!A85</f>
        <v>5537</v>
      </c>
      <c r="B85" s="109" t="str">
        <f>Données!B85</f>
        <v>Villars-le-Terroir</v>
      </c>
      <c r="C85" s="304">
        <f>Données!C85</f>
        <v>1334</v>
      </c>
      <c r="D85" s="300">
        <f t="shared" si="15"/>
        <v>1000</v>
      </c>
      <c r="E85" s="300">
        <f t="shared" si="13"/>
        <v>334</v>
      </c>
      <c r="F85" s="305">
        <f t="shared" si="13"/>
        <v>0</v>
      </c>
      <c r="G85" s="299">
        <f t="shared" si="13"/>
        <v>0</v>
      </c>
      <c r="H85" s="300">
        <f t="shared" si="13"/>
        <v>0</v>
      </c>
      <c r="I85" s="305">
        <f t="shared" si="13"/>
        <v>0</v>
      </c>
      <c r="J85" s="305">
        <f t="shared" si="13"/>
        <v>0</v>
      </c>
      <c r="K85" s="306">
        <f t="shared" si="16"/>
        <v>0</v>
      </c>
      <c r="L85" s="305">
        <f t="shared" si="17"/>
        <v>3002</v>
      </c>
      <c r="M85" s="431">
        <f>Données!AE85</f>
        <v>0</v>
      </c>
      <c r="N85" s="433">
        <v>0</v>
      </c>
      <c r="O85" s="300">
        <f t="shared" si="14"/>
        <v>1334</v>
      </c>
      <c r="P85" s="305">
        <f t="shared" si="18"/>
        <v>3002</v>
      </c>
      <c r="Q85" s="306">
        <f t="shared" si="20"/>
        <v>41337.166050084117</v>
      </c>
      <c r="R85" s="305">
        <f t="shared" si="21"/>
        <v>90567.527098542647</v>
      </c>
      <c r="S85" s="299">
        <f t="shared" si="22"/>
        <v>75314.017238455315</v>
      </c>
      <c r="T85" s="305">
        <f t="shared" si="23"/>
        <v>0</v>
      </c>
      <c r="U85" s="428">
        <f t="shared" si="19"/>
        <v>207218.71038708207</v>
      </c>
    </row>
    <row r="86" spans="1:21" x14ac:dyDescent="0.25">
      <c r="A86" s="108">
        <f>Données!A86</f>
        <v>5539</v>
      </c>
      <c r="B86" s="109" t="str">
        <f>Données!B86</f>
        <v>Vuarrens</v>
      </c>
      <c r="C86" s="304">
        <f>Données!C86</f>
        <v>1113</v>
      </c>
      <c r="D86" s="300">
        <f t="shared" si="15"/>
        <v>1000</v>
      </c>
      <c r="E86" s="300">
        <f t="shared" si="13"/>
        <v>113</v>
      </c>
      <c r="F86" s="305">
        <f t="shared" si="13"/>
        <v>0</v>
      </c>
      <c r="G86" s="299">
        <f t="shared" si="13"/>
        <v>0</v>
      </c>
      <c r="H86" s="300">
        <f t="shared" si="13"/>
        <v>0</v>
      </c>
      <c r="I86" s="305">
        <f t="shared" si="13"/>
        <v>0</v>
      </c>
      <c r="J86" s="305">
        <f t="shared" si="13"/>
        <v>0</v>
      </c>
      <c r="K86" s="306">
        <f t="shared" si="16"/>
        <v>0</v>
      </c>
      <c r="L86" s="305">
        <f t="shared" si="17"/>
        <v>2339</v>
      </c>
      <c r="M86" s="431">
        <f>Données!AE86</f>
        <v>0</v>
      </c>
      <c r="N86" s="433">
        <v>0</v>
      </c>
      <c r="O86" s="300">
        <f t="shared" si="14"/>
        <v>1113</v>
      </c>
      <c r="P86" s="305">
        <f t="shared" si="18"/>
        <v>2339</v>
      </c>
      <c r="Q86" s="306">
        <f t="shared" si="20"/>
        <v>34488.954882866288</v>
      </c>
      <c r="R86" s="305">
        <f t="shared" si="21"/>
        <v>75563.461514751092</v>
      </c>
      <c r="S86" s="299">
        <f t="shared" si="22"/>
        <v>58680.708301381404</v>
      </c>
      <c r="T86" s="305">
        <f t="shared" si="23"/>
        <v>0</v>
      </c>
      <c r="U86" s="428">
        <f t="shared" si="19"/>
        <v>168733.12469899878</v>
      </c>
    </row>
    <row r="87" spans="1:21" x14ac:dyDescent="0.25">
      <c r="A87" s="108">
        <f>Données!A87</f>
        <v>5540</v>
      </c>
      <c r="B87" s="109" t="str">
        <f>Données!B87</f>
        <v>Montilliez</v>
      </c>
      <c r="C87" s="304">
        <f>Données!C87</f>
        <v>1856</v>
      </c>
      <c r="D87" s="300">
        <f t="shared" si="15"/>
        <v>1000</v>
      </c>
      <c r="E87" s="300">
        <f t="shared" si="13"/>
        <v>856</v>
      </c>
      <c r="F87" s="305">
        <f t="shared" si="13"/>
        <v>0</v>
      </c>
      <c r="G87" s="299">
        <f t="shared" si="13"/>
        <v>0</v>
      </c>
      <c r="H87" s="300">
        <f t="shared" si="13"/>
        <v>0</v>
      </c>
      <c r="I87" s="305">
        <f t="shared" si="13"/>
        <v>0</v>
      </c>
      <c r="J87" s="305">
        <f t="shared" si="13"/>
        <v>0</v>
      </c>
      <c r="K87" s="306">
        <f t="shared" si="16"/>
        <v>0</v>
      </c>
      <c r="L87" s="305">
        <f t="shared" si="17"/>
        <v>4568</v>
      </c>
      <c r="M87" s="431">
        <f>Données!AE87</f>
        <v>0</v>
      </c>
      <c r="N87" s="433">
        <v>0</v>
      </c>
      <c r="O87" s="300">
        <f t="shared" si="14"/>
        <v>1856</v>
      </c>
      <c r="P87" s="305">
        <f t="shared" si="18"/>
        <v>4568</v>
      </c>
      <c r="Q87" s="306">
        <f t="shared" si="20"/>
        <v>57512.57885229095</v>
      </c>
      <c r="R87" s="305">
        <f t="shared" si="21"/>
        <v>126006.99422405932</v>
      </c>
      <c r="S87" s="299">
        <f t="shared" si="22"/>
        <v>114601.74242014119</v>
      </c>
      <c r="T87" s="305">
        <f t="shared" si="23"/>
        <v>0</v>
      </c>
      <c r="U87" s="428">
        <f t="shared" si="19"/>
        <v>298121.31549649144</v>
      </c>
    </row>
    <row r="88" spans="1:21" x14ac:dyDescent="0.25">
      <c r="A88" s="108">
        <f>Données!A88</f>
        <v>5541</v>
      </c>
      <c r="B88" s="109" t="str">
        <f>Données!B88</f>
        <v>Goumoëns</v>
      </c>
      <c r="C88" s="304">
        <f>Données!C88</f>
        <v>1251</v>
      </c>
      <c r="D88" s="300">
        <f t="shared" si="15"/>
        <v>1000</v>
      </c>
      <c r="E88" s="300">
        <f t="shared" si="13"/>
        <v>251</v>
      </c>
      <c r="F88" s="305">
        <f t="shared" si="13"/>
        <v>0</v>
      </c>
      <c r="G88" s="299">
        <f t="shared" si="13"/>
        <v>0</v>
      </c>
      <c r="H88" s="300">
        <f t="shared" si="13"/>
        <v>0</v>
      </c>
      <c r="I88" s="305">
        <f t="shared" si="13"/>
        <v>0</v>
      </c>
      <c r="J88" s="305">
        <f t="shared" si="13"/>
        <v>0</v>
      </c>
      <c r="K88" s="306">
        <f t="shared" si="16"/>
        <v>0</v>
      </c>
      <c r="L88" s="305">
        <f t="shared" si="17"/>
        <v>2753</v>
      </c>
      <c r="M88" s="431">
        <f>Données!AE88</f>
        <v>0</v>
      </c>
      <c r="N88" s="433">
        <v>0</v>
      </c>
      <c r="O88" s="300">
        <f t="shared" si="14"/>
        <v>1251</v>
      </c>
      <c r="P88" s="305">
        <f t="shared" si="18"/>
        <v>2753</v>
      </c>
      <c r="Q88" s="306">
        <f t="shared" si="20"/>
        <v>38765.213439771542</v>
      </c>
      <c r="R88" s="305">
        <f t="shared" si="21"/>
        <v>84932.516042186544</v>
      </c>
      <c r="S88" s="299">
        <f t="shared" si="22"/>
        <v>69067.118406884576</v>
      </c>
      <c r="T88" s="305">
        <f t="shared" si="23"/>
        <v>0</v>
      </c>
      <c r="U88" s="428">
        <f t="shared" si="19"/>
        <v>192764.84788884266</v>
      </c>
    </row>
    <row r="89" spans="1:21" x14ac:dyDescent="0.25">
      <c r="A89" s="108">
        <f>Données!A89</f>
        <v>5551</v>
      </c>
      <c r="B89" s="109" t="str">
        <f>Données!B89</f>
        <v>Bonvillars</v>
      </c>
      <c r="C89" s="304">
        <f>Données!C89</f>
        <v>517</v>
      </c>
      <c r="D89" s="300">
        <f t="shared" si="15"/>
        <v>517</v>
      </c>
      <c r="E89" s="300">
        <f t="shared" si="13"/>
        <v>0</v>
      </c>
      <c r="F89" s="305">
        <f t="shared" si="13"/>
        <v>0</v>
      </c>
      <c r="G89" s="299">
        <f t="shared" si="13"/>
        <v>0</v>
      </c>
      <c r="H89" s="300">
        <f t="shared" si="13"/>
        <v>0</v>
      </c>
      <c r="I89" s="305">
        <f t="shared" si="13"/>
        <v>0</v>
      </c>
      <c r="J89" s="305">
        <f t="shared" si="13"/>
        <v>0</v>
      </c>
      <c r="K89" s="306">
        <f t="shared" si="16"/>
        <v>0</v>
      </c>
      <c r="L89" s="305">
        <f t="shared" si="17"/>
        <v>1034</v>
      </c>
      <c r="M89" s="431">
        <f>Données!AE89</f>
        <v>0</v>
      </c>
      <c r="N89" s="433">
        <v>0</v>
      </c>
      <c r="O89" s="300">
        <f t="shared" si="14"/>
        <v>517</v>
      </c>
      <c r="P89" s="305">
        <f t="shared" si="18"/>
        <v>1034</v>
      </c>
      <c r="Q89" s="306">
        <f t="shared" si="20"/>
        <v>16020.475897971131</v>
      </c>
      <c r="R89" s="305">
        <f t="shared" si="21"/>
        <v>35100.008628145835</v>
      </c>
      <c r="S89" s="299">
        <f t="shared" si="22"/>
        <v>25940.937316643169</v>
      </c>
      <c r="T89" s="305">
        <f t="shared" si="23"/>
        <v>0</v>
      </c>
      <c r="U89" s="428">
        <f t="shared" si="19"/>
        <v>77061.421842760145</v>
      </c>
    </row>
    <row r="90" spans="1:21" x14ac:dyDescent="0.25">
      <c r="A90" s="108">
        <f>Données!A90</f>
        <v>5552</v>
      </c>
      <c r="B90" s="109" t="str">
        <f>Données!B90</f>
        <v>Bullet</v>
      </c>
      <c r="C90" s="304">
        <f>Données!C90</f>
        <v>687</v>
      </c>
      <c r="D90" s="300">
        <f t="shared" si="15"/>
        <v>687</v>
      </c>
      <c r="E90" s="300">
        <f t="shared" si="13"/>
        <v>0</v>
      </c>
      <c r="F90" s="305">
        <f t="shared" si="13"/>
        <v>0</v>
      </c>
      <c r="G90" s="299">
        <f t="shared" si="13"/>
        <v>0</v>
      </c>
      <c r="H90" s="300">
        <f t="shared" si="13"/>
        <v>0</v>
      </c>
      <c r="I90" s="305">
        <f t="shared" si="13"/>
        <v>0</v>
      </c>
      <c r="J90" s="305">
        <f t="shared" si="13"/>
        <v>0</v>
      </c>
      <c r="K90" s="306">
        <f t="shared" si="16"/>
        <v>0</v>
      </c>
      <c r="L90" s="305">
        <f t="shared" si="17"/>
        <v>1374</v>
      </c>
      <c r="M90" s="431">
        <f>Données!AE90</f>
        <v>0</v>
      </c>
      <c r="N90" s="433">
        <v>0</v>
      </c>
      <c r="O90" s="300">
        <f t="shared" si="14"/>
        <v>687</v>
      </c>
      <c r="P90" s="305">
        <f t="shared" si="18"/>
        <v>1374</v>
      </c>
      <c r="Q90" s="306">
        <f t="shared" si="20"/>
        <v>21288.330641984849</v>
      </c>
      <c r="R90" s="305">
        <f t="shared" si="21"/>
        <v>46641.597538754722</v>
      </c>
      <c r="S90" s="299">
        <f t="shared" si="22"/>
        <v>34470.83933565543</v>
      </c>
      <c r="T90" s="305">
        <f t="shared" si="23"/>
        <v>0</v>
      </c>
      <c r="U90" s="428">
        <f t="shared" si="19"/>
        <v>102400.767516395</v>
      </c>
    </row>
    <row r="91" spans="1:21" x14ac:dyDescent="0.25">
      <c r="A91" s="108">
        <f>Données!A91</f>
        <v>5553</v>
      </c>
      <c r="B91" s="109" t="str">
        <f>Données!B91</f>
        <v>Champagne</v>
      </c>
      <c r="C91" s="304">
        <f>Données!C91</f>
        <v>1087</v>
      </c>
      <c r="D91" s="300">
        <f t="shared" si="15"/>
        <v>1000</v>
      </c>
      <c r="E91" s="300">
        <f t="shared" si="13"/>
        <v>87</v>
      </c>
      <c r="F91" s="305">
        <f t="shared" si="13"/>
        <v>0</v>
      </c>
      <c r="G91" s="299">
        <f t="shared" si="13"/>
        <v>0</v>
      </c>
      <c r="H91" s="300">
        <f t="shared" si="13"/>
        <v>0</v>
      </c>
      <c r="I91" s="305">
        <f t="shared" si="13"/>
        <v>0</v>
      </c>
      <c r="J91" s="305">
        <f t="shared" si="13"/>
        <v>0</v>
      </c>
      <c r="K91" s="306">
        <f t="shared" si="16"/>
        <v>0</v>
      </c>
      <c r="L91" s="305">
        <f t="shared" si="17"/>
        <v>2261</v>
      </c>
      <c r="M91" s="431">
        <f>Données!AE91</f>
        <v>0</v>
      </c>
      <c r="N91" s="433">
        <v>0</v>
      </c>
      <c r="O91" s="300">
        <f t="shared" si="14"/>
        <v>1087</v>
      </c>
      <c r="P91" s="305">
        <f t="shared" si="18"/>
        <v>2261</v>
      </c>
      <c r="Q91" s="306">
        <f t="shared" si="20"/>
        <v>33683.28298084066</v>
      </c>
      <c r="R91" s="305">
        <f t="shared" si="21"/>
        <v>73798.277328422671</v>
      </c>
      <c r="S91" s="299">
        <f t="shared" si="22"/>
        <v>56723.848426431534</v>
      </c>
      <c r="T91" s="305">
        <f t="shared" si="23"/>
        <v>0</v>
      </c>
      <c r="U91" s="428">
        <f t="shared" si="19"/>
        <v>164205.40873569486</v>
      </c>
    </row>
    <row r="92" spans="1:21" x14ac:dyDescent="0.25">
      <c r="A92" s="108">
        <f>Données!A92</f>
        <v>5554</v>
      </c>
      <c r="B92" s="109" t="str">
        <f>Données!B92</f>
        <v>Concise</v>
      </c>
      <c r="C92" s="304">
        <f>Données!C92</f>
        <v>1035</v>
      </c>
      <c r="D92" s="300">
        <f t="shared" si="15"/>
        <v>1000</v>
      </c>
      <c r="E92" s="300">
        <f t="shared" si="13"/>
        <v>35</v>
      </c>
      <c r="F92" s="305">
        <f t="shared" si="13"/>
        <v>0</v>
      </c>
      <c r="G92" s="299">
        <f t="shared" si="13"/>
        <v>0</v>
      </c>
      <c r="H92" s="300">
        <f t="shared" si="13"/>
        <v>0</v>
      </c>
      <c r="I92" s="305">
        <f t="shared" si="13"/>
        <v>0</v>
      </c>
      <c r="J92" s="305">
        <f t="shared" si="13"/>
        <v>0</v>
      </c>
      <c r="K92" s="306">
        <f t="shared" si="16"/>
        <v>0</v>
      </c>
      <c r="L92" s="305">
        <f t="shared" si="17"/>
        <v>2105</v>
      </c>
      <c r="M92" s="431">
        <f>Données!AE92</f>
        <v>0</v>
      </c>
      <c r="N92" s="433">
        <v>0</v>
      </c>
      <c r="O92" s="300">
        <f t="shared" si="14"/>
        <v>1035</v>
      </c>
      <c r="P92" s="305">
        <f t="shared" si="18"/>
        <v>2105</v>
      </c>
      <c r="Q92" s="306">
        <f t="shared" si="20"/>
        <v>32071.939176789401</v>
      </c>
      <c r="R92" s="305">
        <f t="shared" si="21"/>
        <v>70267.908955765844</v>
      </c>
      <c r="S92" s="299">
        <f t="shared" si="22"/>
        <v>52810.128676531793</v>
      </c>
      <c r="T92" s="305">
        <f t="shared" si="23"/>
        <v>0</v>
      </c>
      <c r="U92" s="428">
        <f t="shared" si="19"/>
        <v>155149.97680908703</v>
      </c>
    </row>
    <row r="93" spans="1:21" x14ac:dyDescent="0.25">
      <c r="A93" s="108">
        <f>Données!A93</f>
        <v>5555</v>
      </c>
      <c r="B93" s="109" t="str">
        <f>Données!B93</f>
        <v>Corcelles-près-Concise</v>
      </c>
      <c r="C93" s="304">
        <f>Données!C93</f>
        <v>439</v>
      </c>
      <c r="D93" s="300">
        <f t="shared" si="15"/>
        <v>439</v>
      </c>
      <c r="E93" s="300">
        <f t="shared" si="13"/>
        <v>0</v>
      </c>
      <c r="F93" s="305">
        <f t="shared" si="13"/>
        <v>0</v>
      </c>
      <c r="G93" s="299">
        <f t="shared" si="13"/>
        <v>0</v>
      </c>
      <c r="H93" s="300">
        <f t="shared" si="13"/>
        <v>0</v>
      </c>
      <c r="I93" s="305">
        <f t="shared" si="13"/>
        <v>0</v>
      </c>
      <c r="J93" s="305">
        <f t="shared" si="13"/>
        <v>0</v>
      </c>
      <c r="K93" s="306">
        <f t="shared" si="16"/>
        <v>0</v>
      </c>
      <c r="L93" s="305">
        <f t="shared" si="17"/>
        <v>878</v>
      </c>
      <c r="M93" s="431">
        <f>Données!AE93</f>
        <v>0</v>
      </c>
      <c r="N93" s="433">
        <v>0</v>
      </c>
      <c r="O93" s="300">
        <f t="shared" si="14"/>
        <v>439</v>
      </c>
      <c r="P93" s="305">
        <f t="shared" si="18"/>
        <v>878</v>
      </c>
      <c r="Q93" s="306">
        <f t="shared" si="20"/>
        <v>13603.46019189425</v>
      </c>
      <c r="R93" s="305">
        <f t="shared" si="21"/>
        <v>29804.456069160584</v>
      </c>
      <c r="S93" s="299">
        <f t="shared" si="22"/>
        <v>22027.217566743428</v>
      </c>
      <c r="T93" s="305">
        <f t="shared" si="23"/>
        <v>0</v>
      </c>
      <c r="U93" s="428">
        <f t="shared" si="19"/>
        <v>65435.133827798265</v>
      </c>
    </row>
    <row r="94" spans="1:21" x14ac:dyDescent="0.25">
      <c r="A94" s="108">
        <f>Données!A94</f>
        <v>5556</v>
      </c>
      <c r="B94" s="109" t="str">
        <f>Données!B94</f>
        <v>Fiez</v>
      </c>
      <c r="C94" s="304">
        <f>Données!C94</f>
        <v>421</v>
      </c>
      <c r="D94" s="300">
        <f t="shared" si="15"/>
        <v>421</v>
      </c>
      <c r="E94" s="300">
        <f t="shared" si="13"/>
        <v>0</v>
      </c>
      <c r="F94" s="305">
        <f t="shared" si="13"/>
        <v>0</v>
      </c>
      <c r="G94" s="299">
        <f t="shared" si="13"/>
        <v>0</v>
      </c>
      <c r="H94" s="300">
        <f t="shared" si="13"/>
        <v>0</v>
      </c>
      <c r="I94" s="305">
        <f t="shared" si="13"/>
        <v>0</v>
      </c>
      <c r="J94" s="305">
        <f t="shared" si="13"/>
        <v>0</v>
      </c>
      <c r="K94" s="306">
        <f t="shared" si="16"/>
        <v>0</v>
      </c>
      <c r="L94" s="305">
        <f t="shared" si="17"/>
        <v>842</v>
      </c>
      <c r="M94" s="431">
        <f>Données!AE94</f>
        <v>0</v>
      </c>
      <c r="N94" s="433">
        <v>0</v>
      </c>
      <c r="O94" s="300">
        <f t="shared" si="14"/>
        <v>421</v>
      </c>
      <c r="P94" s="305">
        <f t="shared" si="18"/>
        <v>842</v>
      </c>
      <c r="Q94" s="306">
        <f t="shared" si="20"/>
        <v>13045.687336645738</v>
      </c>
      <c r="R94" s="305">
        <f t="shared" si="21"/>
        <v>28582.405478625526</v>
      </c>
      <c r="S94" s="299">
        <f t="shared" si="22"/>
        <v>21124.051470612718</v>
      </c>
      <c r="T94" s="305">
        <f t="shared" si="23"/>
        <v>0</v>
      </c>
      <c r="U94" s="428">
        <f t="shared" si="19"/>
        <v>62752.144285883987</v>
      </c>
    </row>
    <row r="95" spans="1:21" x14ac:dyDescent="0.25">
      <c r="A95" s="108">
        <f>Données!A95</f>
        <v>5557</v>
      </c>
      <c r="B95" s="109" t="str">
        <f>Données!B95</f>
        <v>Fontaines-sur-Grandson</v>
      </c>
      <c r="C95" s="304">
        <f>Données!C95</f>
        <v>228</v>
      </c>
      <c r="D95" s="300">
        <f t="shared" si="15"/>
        <v>228</v>
      </c>
      <c r="E95" s="300">
        <f t="shared" si="13"/>
        <v>0</v>
      </c>
      <c r="F95" s="305">
        <f t="shared" si="13"/>
        <v>0</v>
      </c>
      <c r="G95" s="299">
        <f t="shared" si="13"/>
        <v>0</v>
      </c>
      <c r="H95" s="300">
        <f t="shared" si="13"/>
        <v>0</v>
      </c>
      <c r="I95" s="305">
        <f t="shared" si="13"/>
        <v>0</v>
      </c>
      <c r="J95" s="305">
        <f t="shared" si="13"/>
        <v>0</v>
      </c>
      <c r="K95" s="306">
        <f t="shared" si="16"/>
        <v>0</v>
      </c>
      <c r="L95" s="305">
        <f t="shared" si="17"/>
        <v>456</v>
      </c>
      <c r="M95" s="431">
        <f>Données!AE95</f>
        <v>0</v>
      </c>
      <c r="N95" s="433">
        <v>0</v>
      </c>
      <c r="O95" s="300">
        <f t="shared" si="14"/>
        <v>228</v>
      </c>
      <c r="P95" s="305">
        <f t="shared" si="18"/>
        <v>456</v>
      </c>
      <c r="Q95" s="306">
        <f t="shared" si="20"/>
        <v>7065.1228331478105</v>
      </c>
      <c r="R95" s="305">
        <f t="shared" si="21"/>
        <v>15479.307480110736</v>
      </c>
      <c r="S95" s="299">
        <f t="shared" si="22"/>
        <v>11440.103884322327</v>
      </c>
      <c r="T95" s="305">
        <f t="shared" si="23"/>
        <v>0</v>
      </c>
      <c r="U95" s="428">
        <f t="shared" si="19"/>
        <v>33984.534197580877</v>
      </c>
    </row>
    <row r="96" spans="1:21" x14ac:dyDescent="0.25">
      <c r="A96" s="108">
        <f>Données!A96</f>
        <v>5559</v>
      </c>
      <c r="B96" s="109" t="str">
        <f>Données!B96</f>
        <v>Giez</v>
      </c>
      <c r="C96" s="304">
        <f>Données!C96</f>
        <v>464</v>
      </c>
      <c r="D96" s="300">
        <f t="shared" si="15"/>
        <v>464</v>
      </c>
      <c r="E96" s="300">
        <f t="shared" si="13"/>
        <v>0</v>
      </c>
      <c r="F96" s="305">
        <f t="shared" si="13"/>
        <v>0</v>
      </c>
      <c r="G96" s="299">
        <f t="shared" si="13"/>
        <v>0</v>
      </c>
      <c r="H96" s="300">
        <f t="shared" si="13"/>
        <v>0</v>
      </c>
      <c r="I96" s="305">
        <f t="shared" si="13"/>
        <v>0</v>
      </c>
      <c r="J96" s="305">
        <f t="shared" si="13"/>
        <v>0</v>
      </c>
      <c r="K96" s="306">
        <f t="shared" si="16"/>
        <v>0</v>
      </c>
      <c r="L96" s="305">
        <f t="shared" si="17"/>
        <v>928</v>
      </c>
      <c r="M96" s="431">
        <f>Données!AE96</f>
        <v>0</v>
      </c>
      <c r="N96" s="433">
        <v>0</v>
      </c>
      <c r="O96" s="300">
        <f t="shared" si="14"/>
        <v>464</v>
      </c>
      <c r="P96" s="305">
        <f t="shared" si="18"/>
        <v>928</v>
      </c>
      <c r="Q96" s="306">
        <f t="shared" si="20"/>
        <v>14378.144713072737</v>
      </c>
      <c r="R96" s="305">
        <f t="shared" si="21"/>
        <v>31501.748556014831</v>
      </c>
      <c r="S96" s="299">
        <f t="shared" si="22"/>
        <v>23281.614922480523</v>
      </c>
      <c r="T96" s="305">
        <f t="shared" si="23"/>
        <v>0</v>
      </c>
      <c r="U96" s="428">
        <f t="shared" si="19"/>
        <v>69161.508191568093</v>
      </c>
    </row>
    <row r="97" spans="1:21" x14ac:dyDescent="0.25">
      <c r="A97" s="108">
        <f>Données!A97</f>
        <v>5560</v>
      </c>
      <c r="B97" s="109" t="str">
        <f>Données!B97</f>
        <v>Grandevent</v>
      </c>
      <c r="C97" s="304">
        <f>Données!C97</f>
        <v>241</v>
      </c>
      <c r="D97" s="300">
        <f t="shared" si="15"/>
        <v>241</v>
      </c>
      <c r="E97" s="300">
        <f t="shared" si="13"/>
        <v>0</v>
      </c>
      <c r="F97" s="305">
        <f t="shared" si="13"/>
        <v>0</v>
      </c>
      <c r="G97" s="299">
        <f t="shared" si="13"/>
        <v>0</v>
      </c>
      <c r="H97" s="300">
        <f t="shared" si="13"/>
        <v>0</v>
      </c>
      <c r="I97" s="305">
        <f t="shared" si="13"/>
        <v>0</v>
      </c>
      <c r="J97" s="305">
        <f t="shared" si="13"/>
        <v>0</v>
      </c>
      <c r="K97" s="306">
        <f t="shared" si="16"/>
        <v>0</v>
      </c>
      <c r="L97" s="305">
        <f t="shared" si="17"/>
        <v>482</v>
      </c>
      <c r="M97" s="431">
        <f>Données!AE97</f>
        <v>0</v>
      </c>
      <c r="N97" s="433">
        <v>0</v>
      </c>
      <c r="O97" s="300">
        <f t="shared" si="14"/>
        <v>241</v>
      </c>
      <c r="P97" s="305">
        <f t="shared" si="18"/>
        <v>482</v>
      </c>
      <c r="Q97" s="306">
        <f t="shared" si="20"/>
        <v>7467.9587841606244</v>
      </c>
      <c r="R97" s="305">
        <f t="shared" si="21"/>
        <v>16361.899573274944</v>
      </c>
      <c r="S97" s="299">
        <f t="shared" si="22"/>
        <v>12092.390509305616</v>
      </c>
      <c r="T97" s="305">
        <f t="shared" si="23"/>
        <v>0</v>
      </c>
      <c r="U97" s="428">
        <f t="shared" si="19"/>
        <v>35922.248866741182</v>
      </c>
    </row>
    <row r="98" spans="1:21" x14ac:dyDescent="0.25">
      <c r="A98" s="108">
        <f>Données!A98</f>
        <v>5561</v>
      </c>
      <c r="B98" s="109" t="str">
        <f>Données!B98</f>
        <v>Grandson</v>
      </c>
      <c r="C98" s="304">
        <f>Données!C98</f>
        <v>3391</v>
      </c>
      <c r="D98" s="300">
        <f t="shared" si="15"/>
        <v>1000</v>
      </c>
      <c r="E98" s="300">
        <f t="shared" si="13"/>
        <v>2000</v>
      </c>
      <c r="F98" s="305">
        <f t="shared" si="13"/>
        <v>391</v>
      </c>
      <c r="G98" s="299">
        <f t="shared" si="13"/>
        <v>0</v>
      </c>
      <c r="H98" s="300">
        <f t="shared" si="13"/>
        <v>0</v>
      </c>
      <c r="I98" s="305">
        <f t="shared" si="13"/>
        <v>0</v>
      </c>
      <c r="J98" s="305">
        <f t="shared" si="13"/>
        <v>0</v>
      </c>
      <c r="K98" s="306">
        <f t="shared" si="16"/>
        <v>0</v>
      </c>
      <c r="L98" s="305">
        <f t="shared" si="17"/>
        <v>9368.5</v>
      </c>
      <c r="M98" s="431">
        <f>Données!AE98</f>
        <v>0</v>
      </c>
      <c r="N98" s="433">
        <v>0</v>
      </c>
      <c r="O98" s="300">
        <f t="shared" si="14"/>
        <v>3391</v>
      </c>
      <c r="P98" s="305">
        <f t="shared" si="18"/>
        <v>9368.5</v>
      </c>
      <c r="Q98" s="306">
        <f t="shared" si="20"/>
        <v>105078.20845265011</v>
      </c>
      <c r="R98" s="305">
        <f t="shared" si="21"/>
        <v>230220.75291691013</v>
      </c>
      <c r="S98" s="299">
        <f t="shared" si="22"/>
        <v>235036.43254445991</v>
      </c>
      <c r="T98" s="305">
        <f t="shared" si="23"/>
        <v>0</v>
      </c>
      <c r="U98" s="428">
        <f t="shared" si="19"/>
        <v>570335.39391402015</v>
      </c>
    </row>
    <row r="99" spans="1:21" x14ac:dyDescent="0.25">
      <c r="A99" s="108">
        <f>Données!A99</f>
        <v>5562</v>
      </c>
      <c r="B99" s="109" t="str">
        <f>Données!B99</f>
        <v>Mauborget</v>
      </c>
      <c r="C99" s="304">
        <f>Données!C99</f>
        <v>137</v>
      </c>
      <c r="D99" s="300">
        <f t="shared" si="15"/>
        <v>137</v>
      </c>
      <c r="E99" s="300">
        <f t="shared" si="13"/>
        <v>0</v>
      </c>
      <c r="F99" s="305">
        <f t="shared" si="13"/>
        <v>0</v>
      </c>
      <c r="G99" s="299">
        <f t="shared" si="13"/>
        <v>0</v>
      </c>
      <c r="H99" s="300">
        <f t="shared" si="13"/>
        <v>0</v>
      </c>
      <c r="I99" s="305">
        <f t="shared" si="13"/>
        <v>0</v>
      </c>
      <c r="J99" s="305">
        <f t="shared" si="13"/>
        <v>0</v>
      </c>
      <c r="K99" s="306">
        <f t="shared" si="16"/>
        <v>0</v>
      </c>
      <c r="L99" s="305">
        <f t="shared" si="17"/>
        <v>274</v>
      </c>
      <c r="M99" s="431">
        <f>Données!AE99</f>
        <v>0</v>
      </c>
      <c r="N99" s="433">
        <v>0</v>
      </c>
      <c r="O99" s="300">
        <f t="shared" si="14"/>
        <v>137</v>
      </c>
      <c r="P99" s="305">
        <f t="shared" si="18"/>
        <v>274</v>
      </c>
      <c r="Q99" s="306">
        <f t="shared" si="20"/>
        <v>4245.2711760581142</v>
      </c>
      <c r="R99" s="305">
        <f t="shared" si="21"/>
        <v>9301.162827961276</v>
      </c>
      <c r="S99" s="299">
        <f t="shared" si="22"/>
        <v>6874.0975094392925</v>
      </c>
      <c r="T99" s="305">
        <f t="shared" si="23"/>
        <v>0</v>
      </c>
      <c r="U99" s="428">
        <f t="shared" si="19"/>
        <v>20420.531513458682</v>
      </c>
    </row>
    <row r="100" spans="1:21" x14ac:dyDescent="0.25">
      <c r="A100" s="108">
        <f>Données!A100</f>
        <v>5563</v>
      </c>
      <c r="B100" s="109" t="str">
        <f>Données!B100</f>
        <v>Mutrux</v>
      </c>
      <c r="C100" s="304">
        <f>Données!C100</f>
        <v>138</v>
      </c>
      <c r="D100" s="300">
        <f t="shared" si="15"/>
        <v>138</v>
      </c>
      <c r="E100" s="300">
        <f t="shared" si="13"/>
        <v>0</v>
      </c>
      <c r="F100" s="305">
        <f t="shared" si="13"/>
        <v>0</v>
      </c>
      <c r="G100" s="299">
        <f t="shared" si="13"/>
        <v>0</v>
      </c>
      <c r="H100" s="300">
        <f t="shared" si="13"/>
        <v>0</v>
      </c>
      <c r="I100" s="305">
        <f t="shared" si="13"/>
        <v>0</v>
      </c>
      <c r="J100" s="305">
        <f t="shared" si="13"/>
        <v>0</v>
      </c>
      <c r="K100" s="306">
        <f t="shared" si="16"/>
        <v>0</v>
      </c>
      <c r="L100" s="305">
        <f t="shared" si="17"/>
        <v>276</v>
      </c>
      <c r="M100" s="431">
        <f>Données!AE100</f>
        <v>0</v>
      </c>
      <c r="N100" s="433">
        <v>0</v>
      </c>
      <c r="O100" s="300">
        <f t="shared" si="14"/>
        <v>138</v>
      </c>
      <c r="P100" s="305">
        <f t="shared" si="18"/>
        <v>276</v>
      </c>
      <c r="Q100" s="306">
        <f t="shared" si="20"/>
        <v>4276.2585569052535</v>
      </c>
      <c r="R100" s="305">
        <f t="shared" si="21"/>
        <v>9369.0545274354463</v>
      </c>
      <c r="S100" s="299">
        <f t="shared" si="22"/>
        <v>6924.2734036687762</v>
      </c>
      <c r="T100" s="305">
        <f t="shared" si="23"/>
        <v>0</v>
      </c>
      <c r="U100" s="428">
        <f t="shared" si="19"/>
        <v>20569.586488009474</v>
      </c>
    </row>
    <row r="101" spans="1:21" x14ac:dyDescent="0.25">
      <c r="A101" s="108">
        <f>Données!A101</f>
        <v>5564</v>
      </c>
      <c r="B101" s="109" t="str">
        <f>Données!B101</f>
        <v>Novalles</v>
      </c>
      <c r="C101" s="304">
        <f>Données!C101</f>
        <v>105</v>
      </c>
      <c r="D101" s="300">
        <f t="shared" si="15"/>
        <v>105</v>
      </c>
      <c r="E101" s="300">
        <f t="shared" si="13"/>
        <v>0</v>
      </c>
      <c r="F101" s="305">
        <f t="shared" si="13"/>
        <v>0</v>
      </c>
      <c r="G101" s="299">
        <f t="shared" si="13"/>
        <v>0</v>
      </c>
      <c r="H101" s="300">
        <f t="shared" si="13"/>
        <v>0</v>
      </c>
      <c r="I101" s="305">
        <f t="shared" si="13"/>
        <v>0</v>
      </c>
      <c r="J101" s="305">
        <f t="shared" si="13"/>
        <v>0</v>
      </c>
      <c r="K101" s="306">
        <f t="shared" si="16"/>
        <v>0</v>
      </c>
      <c r="L101" s="305">
        <f t="shared" si="17"/>
        <v>210</v>
      </c>
      <c r="M101" s="431">
        <f>Données!AE101</f>
        <v>0</v>
      </c>
      <c r="N101" s="433">
        <v>0</v>
      </c>
      <c r="O101" s="300">
        <f t="shared" si="14"/>
        <v>105</v>
      </c>
      <c r="P101" s="305">
        <f t="shared" si="18"/>
        <v>210</v>
      </c>
      <c r="Q101" s="306">
        <f t="shared" si="20"/>
        <v>3253.6749889496496</v>
      </c>
      <c r="R101" s="305">
        <f t="shared" si="21"/>
        <v>7128.6284447878388</v>
      </c>
      <c r="S101" s="299">
        <f t="shared" si="22"/>
        <v>5268.4688940958085</v>
      </c>
      <c r="T101" s="305">
        <f t="shared" si="23"/>
        <v>0</v>
      </c>
      <c r="U101" s="428">
        <f t="shared" si="19"/>
        <v>15650.772327833296</v>
      </c>
    </row>
    <row r="102" spans="1:21" x14ac:dyDescent="0.25">
      <c r="A102" s="108">
        <f>Données!A102</f>
        <v>5565</v>
      </c>
      <c r="B102" s="109" t="str">
        <f>Données!B102</f>
        <v>Onnens</v>
      </c>
      <c r="C102" s="304">
        <f>Données!C102</f>
        <v>527</v>
      </c>
      <c r="D102" s="300">
        <f t="shared" si="15"/>
        <v>527</v>
      </c>
      <c r="E102" s="300">
        <f t="shared" si="13"/>
        <v>0</v>
      </c>
      <c r="F102" s="305">
        <f t="shared" si="13"/>
        <v>0</v>
      </c>
      <c r="G102" s="299">
        <f t="shared" si="13"/>
        <v>0</v>
      </c>
      <c r="H102" s="300">
        <f t="shared" si="13"/>
        <v>0</v>
      </c>
      <c r="I102" s="305">
        <f t="shared" si="13"/>
        <v>0</v>
      </c>
      <c r="J102" s="305">
        <f t="shared" si="13"/>
        <v>0</v>
      </c>
      <c r="K102" s="306">
        <f t="shared" si="16"/>
        <v>0</v>
      </c>
      <c r="L102" s="305">
        <f t="shared" si="17"/>
        <v>1054</v>
      </c>
      <c r="M102" s="431">
        <f>Données!AE102</f>
        <v>0</v>
      </c>
      <c r="N102" s="433">
        <v>0</v>
      </c>
      <c r="O102" s="300">
        <f t="shared" si="14"/>
        <v>527</v>
      </c>
      <c r="P102" s="305">
        <f t="shared" si="18"/>
        <v>1054</v>
      </c>
      <c r="Q102" s="306">
        <f t="shared" si="20"/>
        <v>16330.349706442526</v>
      </c>
      <c r="R102" s="305">
        <f t="shared" si="21"/>
        <v>35778.925622887538</v>
      </c>
      <c r="S102" s="299">
        <f t="shared" si="22"/>
        <v>26442.696258938009</v>
      </c>
      <c r="T102" s="305">
        <f t="shared" si="23"/>
        <v>0</v>
      </c>
      <c r="U102" s="428">
        <f t="shared" si="19"/>
        <v>78551.971588268076</v>
      </c>
    </row>
    <row r="103" spans="1:21" x14ac:dyDescent="0.25">
      <c r="A103" s="108">
        <f>Données!A103</f>
        <v>5566</v>
      </c>
      <c r="B103" s="109" t="str">
        <f>Données!B103</f>
        <v>Provence</v>
      </c>
      <c r="C103" s="304">
        <f>Données!C103</f>
        <v>421</v>
      </c>
      <c r="D103" s="300">
        <f t="shared" si="15"/>
        <v>421</v>
      </c>
      <c r="E103" s="300">
        <f t="shared" si="13"/>
        <v>0</v>
      </c>
      <c r="F103" s="305">
        <f t="shared" si="13"/>
        <v>0</v>
      </c>
      <c r="G103" s="299">
        <f t="shared" si="13"/>
        <v>0</v>
      </c>
      <c r="H103" s="300">
        <f t="shared" si="13"/>
        <v>0</v>
      </c>
      <c r="I103" s="305">
        <f t="shared" si="13"/>
        <v>0</v>
      </c>
      <c r="J103" s="305">
        <f t="shared" si="13"/>
        <v>0</v>
      </c>
      <c r="K103" s="306">
        <f t="shared" si="16"/>
        <v>0</v>
      </c>
      <c r="L103" s="305">
        <f t="shared" si="17"/>
        <v>842</v>
      </c>
      <c r="M103" s="431">
        <f>Données!AE103</f>
        <v>0</v>
      </c>
      <c r="N103" s="433">
        <v>0</v>
      </c>
      <c r="O103" s="300">
        <f t="shared" si="14"/>
        <v>421</v>
      </c>
      <c r="P103" s="305">
        <f t="shared" si="18"/>
        <v>842</v>
      </c>
      <c r="Q103" s="306">
        <f t="shared" si="20"/>
        <v>13045.687336645738</v>
      </c>
      <c r="R103" s="305">
        <f t="shared" si="21"/>
        <v>28582.405478625526</v>
      </c>
      <c r="S103" s="299">
        <f t="shared" si="22"/>
        <v>21124.051470612718</v>
      </c>
      <c r="T103" s="305">
        <f t="shared" si="23"/>
        <v>0</v>
      </c>
      <c r="U103" s="428">
        <f t="shared" si="19"/>
        <v>62752.144285883987</v>
      </c>
    </row>
    <row r="104" spans="1:21" x14ac:dyDescent="0.25">
      <c r="A104" s="108">
        <f>Données!A104</f>
        <v>5568</v>
      </c>
      <c r="B104" s="109" t="str">
        <f>Données!B104</f>
        <v>Sainte-Croix</v>
      </c>
      <c r="C104" s="304">
        <f>Données!C104</f>
        <v>5149</v>
      </c>
      <c r="D104" s="300">
        <f t="shared" si="15"/>
        <v>1000</v>
      </c>
      <c r="E104" s="300">
        <f t="shared" si="13"/>
        <v>2000</v>
      </c>
      <c r="F104" s="305">
        <f t="shared" si="13"/>
        <v>2000</v>
      </c>
      <c r="G104" s="299">
        <f t="shared" si="13"/>
        <v>149</v>
      </c>
      <c r="H104" s="300">
        <f t="shared" si="13"/>
        <v>0</v>
      </c>
      <c r="I104" s="305">
        <f t="shared" si="13"/>
        <v>0</v>
      </c>
      <c r="J104" s="305">
        <f t="shared" si="13"/>
        <v>0</v>
      </c>
      <c r="K104" s="306">
        <f t="shared" si="16"/>
        <v>0</v>
      </c>
      <c r="L104" s="305">
        <f t="shared" si="17"/>
        <v>15596</v>
      </c>
      <c r="M104" s="431">
        <f>Données!AE104</f>
        <v>0</v>
      </c>
      <c r="N104" s="433">
        <v>0</v>
      </c>
      <c r="O104" s="300">
        <f t="shared" si="14"/>
        <v>5149</v>
      </c>
      <c r="P104" s="305">
        <f t="shared" si="18"/>
        <v>15596</v>
      </c>
      <c r="Q104" s="306">
        <f t="shared" si="20"/>
        <v>159554.02398192137</v>
      </c>
      <c r="R104" s="305">
        <f t="shared" si="21"/>
        <v>349574.36059250077</v>
      </c>
      <c r="S104" s="299">
        <f t="shared" si="22"/>
        <v>391271.62320151535</v>
      </c>
      <c r="T104" s="305">
        <f t="shared" si="23"/>
        <v>0</v>
      </c>
      <c r="U104" s="428">
        <f t="shared" si="19"/>
        <v>900400.00777593744</v>
      </c>
    </row>
    <row r="105" spans="1:21" x14ac:dyDescent="0.25">
      <c r="A105" s="108">
        <f>Données!A105</f>
        <v>5571</v>
      </c>
      <c r="B105" s="109" t="str">
        <f>Données!B105</f>
        <v>Tévenon</v>
      </c>
      <c r="C105" s="304">
        <f>Données!C105</f>
        <v>857</v>
      </c>
      <c r="D105" s="300">
        <f t="shared" si="15"/>
        <v>857</v>
      </c>
      <c r="E105" s="300">
        <f t="shared" si="13"/>
        <v>0</v>
      </c>
      <c r="F105" s="305">
        <f t="shared" si="13"/>
        <v>0</v>
      </c>
      <c r="G105" s="299">
        <f t="shared" si="13"/>
        <v>0</v>
      </c>
      <c r="H105" s="300">
        <f t="shared" si="13"/>
        <v>0</v>
      </c>
      <c r="I105" s="305">
        <f t="shared" si="13"/>
        <v>0</v>
      </c>
      <c r="J105" s="305">
        <f t="shared" si="13"/>
        <v>0</v>
      </c>
      <c r="K105" s="306">
        <f t="shared" si="16"/>
        <v>0</v>
      </c>
      <c r="L105" s="305">
        <f t="shared" si="17"/>
        <v>1714</v>
      </c>
      <c r="M105" s="431">
        <f>Données!AE105</f>
        <v>0</v>
      </c>
      <c r="N105" s="433">
        <v>0</v>
      </c>
      <c r="O105" s="300">
        <f t="shared" si="14"/>
        <v>857</v>
      </c>
      <c r="P105" s="305">
        <f t="shared" si="18"/>
        <v>1714</v>
      </c>
      <c r="Q105" s="306">
        <f t="shared" si="20"/>
        <v>26556.185385998568</v>
      </c>
      <c r="R105" s="305">
        <f t="shared" si="21"/>
        <v>58183.186449363602</v>
      </c>
      <c r="S105" s="299">
        <f t="shared" si="22"/>
        <v>43000.741354667691</v>
      </c>
      <c r="T105" s="305">
        <f t="shared" si="23"/>
        <v>0</v>
      </c>
      <c r="U105" s="428">
        <f t="shared" si="19"/>
        <v>127740.11319002986</v>
      </c>
    </row>
    <row r="106" spans="1:21" x14ac:dyDescent="0.25">
      <c r="A106" s="108">
        <f>Données!A106</f>
        <v>5581</v>
      </c>
      <c r="B106" s="109" t="str">
        <f>Données!B106</f>
        <v>Belmont-sur-Lausanne</v>
      </c>
      <c r="C106" s="304">
        <f>Données!C106</f>
        <v>3891</v>
      </c>
      <c r="D106" s="300">
        <f t="shared" si="15"/>
        <v>1000</v>
      </c>
      <c r="E106" s="300">
        <f t="shared" si="13"/>
        <v>2000</v>
      </c>
      <c r="F106" s="305">
        <f t="shared" si="13"/>
        <v>891</v>
      </c>
      <c r="G106" s="299">
        <f t="shared" si="13"/>
        <v>0</v>
      </c>
      <c r="H106" s="300">
        <f t="shared" si="13"/>
        <v>0</v>
      </c>
      <c r="I106" s="305">
        <f t="shared" si="13"/>
        <v>0</v>
      </c>
      <c r="J106" s="305">
        <f t="shared" si="13"/>
        <v>0</v>
      </c>
      <c r="K106" s="306">
        <f t="shared" si="16"/>
        <v>0</v>
      </c>
      <c r="L106" s="305">
        <f t="shared" si="17"/>
        <v>11118.5</v>
      </c>
      <c r="M106" s="431">
        <f>Données!AE106</f>
        <v>1</v>
      </c>
      <c r="N106" s="433">
        <v>1</v>
      </c>
      <c r="O106" s="300">
        <f t="shared" si="14"/>
        <v>0</v>
      </c>
      <c r="P106" s="305">
        <f t="shared" si="18"/>
        <v>0</v>
      </c>
      <c r="Q106" s="306">
        <f t="shared" si="20"/>
        <v>120571.89887621987</v>
      </c>
      <c r="R106" s="305">
        <f t="shared" si="21"/>
        <v>0</v>
      </c>
      <c r="S106" s="299">
        <f t="shared" si="22"/>
        <v>0</v>
      </c>
      <c r="T106" s="305">
        <f t="shared" si="23"/>
        <v>0</v>
      </c>
      <c r="U106" s="428">
        <f t="shared" si="19"/>
        <v>120571.89887621987</v>
      </c>
    </row>
    <row r="107" spans="1:21" x14ac:dyDescent="0.25">
      <c r="A107" s="108">
        <f>Données!A107</f>
        <v>5582</v>
      </c>
      <c r="B107" s="109" t="str">
        <f>Données!B107</f>
        <v>Cheseaux-sur-Lausanne</v>
      </c>
      <c r="C107" s="304">
        <f>Données!C107</f>
        <v>4870</v>
      </c>
      <c r="D107" s="300">
        <f t="shared" si="15"/>
        <v>1000</v>
      </c>
      <c r="E107" s="300">
        <f t="shared" ref="E107:J149" si="24">IF($C107&lt;E$4,0,IF($C107&gt;E$5,E$5-E$4,$C107-E$4))</f>
        <v>2000</v>
      </c>
      <c r="F107" s="305">
        <f t="shared" si="24"/>
        <v>1870</v>
      </c>
      <c r="G107" s="299">
        <f t="shared" si="24"/>
        <v>0</v>
      </c>
      <c r="H107" s="300">
        <f t="shared" si="24"/>
        <v>0</v>
      </c>
      <c r="I107" s="305">
        <f t="shared" si="24"/>
        <v>0</v>
      </c>
      <c r="J107" s="305">
        <f t="shared" si="24"/>
        <v>0</v>
      </c>
      <c r="K107" s="306">
        <f t="shared" si="16"/>
        <v>0</v>
      </c>
      <c r="L107" s="305">
        <f t="shared" si="17"/>
        <v>14545</v>
      </c>
      <c r="M107" s="431">
        <f>Données!AE107</f>
        <v>0</v>
      </c>
      <c r="N107" s="433">
        <v>0</v>
      </c>
      <c r="O107" s="300">
        <f t="shared" si="14"/>
        <v>4870</v>
      </c>
      <c r="P107" s="305">
        <f t="shared" si="18"/>
        <v>14545</v>
      </c>
      <c r="Q107" s="306">
        <f t="shared" si="20"/>
        <v>150908.54472556946</v>
      </c>
      <c r="R107" s="305">
        <f t="shared" si="21"/>
        <v>330632.57643920742</v>
      </c>
      <c r="S107" s="299">
        <f t="shared" si="22"/>
        <v>364904.19078392157</v>
      </c>
      <c r="T107" s="305">
        <f t="shared" si="23"/>
        <v>0</v>
      </c>
      <c r="U107" s="428">
        <f t="shared" si="19"/>
        <v>846445.31194869848</v>
      </c>
    </row>
    <row r="108" spans="1:21" x14ac:dyDescent="0.25">
      <c r="A108" s="108">
        <f>Données!A108</f>
        <v>5583</v>
      </c>
      <c r="B108" s="109" t="str">
        <f>Données!B108</f>
        <v>Crissier</v>
      </c>
      <c r="C108" s="304">
        <f>Données!C108</f>
        <v>11116</v>
      </c>
      <c r="D108" s="300">
        <f t="shared" si="15"/>
        <v>1000</v>
      </c>
      <c r="E108" s="300">
        <f t="shared" si="24"/>
        <v>2000</v>
      </c>
      <c r="F108" s="305">
        <f t="shared" si="24"/>
        <v>2000</v>
      </c>
      <c r="G108" s="299">
        <f t="shared" si="24"/>
        <v>6116</v>
      </c>
      <c r="H108" s="300">
        <f t="shared" si="24"/>
        <v>0</v>
      </c>
      <c r="I108" s="305">
        <f t="shared" si="24"/>
        <v>0</v>
      </c>
      <c r="J108" s="305">
        <f t="shared" si="24"/>
        <v>0</v>
      </c>
      <c r="K108" s="306">
        <f t="shared" si="16"/>
        <v>0</v>
      </c>
      <c r="L108" s="305">
        <f t="shared" si="17"/>
        <v>39464</v>
      </c>
      <c r="M108" s="431">
        <f>Données!AE108</f>
        <v>1</v>
      </c>
      <c r="N108" s="433">
        <v>1</v>
      </c>
      <c r="O108" s="300">
        <f t="shared" si="14"/>
        <v>0</v>
      </c>
      <c r="P108" s="305">
        <f t="shared" si="18"/>
        <v>0</v>
      </c>
      <c r="Q108" s="306">
        <f t="shared" si="20"/>
        <v>344455.72549680289</v>
      </c>
      <c r="R108" s="305">
        <f t="shared" si="21"/>
        <v>0</v>
      </c>
      <c r="S108" s="299">
        <f t="shared" si="22"/>
        <v>0</v>
      </c>
      <c r="T108" s="305">
        <f t="shared" si="23"/>
        <v>0</v>
      </c>
      <c r="U108" s="428">
        <f t="shared" si="19"/>
        <v>344455.72549680289</v>
      </c>
    </row>
    <row r="109" spans="1:21" x14ac:dyDescent="0.25">
      <c r="A109" s="108">
        <f>Données!A109</f>
        <v>5584</v>
      </c>
      <c r="B109" s="109" t="str">
        <f>Données!B109</f>
        <v>Epalinges</v>
      </c>
      <c r="C109" s="304">
        <f>Données!C109</f>
        <v>9869</v>
      </c>
      <c r="D109" s="300">
        <f t="shared" si="15"/>
        <v>1000</v>
      </c>
      <c r="E109" s="300">
        <f t="shared" si="24"/>
        <v>2000</v>
      </c>
      <c r="F109" s="305">
        <f t="shared" si="24"/>
        <v>2000</v>
      </c>
      <c r="G109" s="299">
        <f t="shared" si="24"/>
        <v>4869</v>
      </c>
      <c r="H109" s="300">
        <f t="shared" si="24"/>
        <v>0</v>
      </c>
      <c r="I109" s="305">
        <f t="shared" si="24"/>
        <v>0</v>
      </c>
      <c r="J109" s="305">
        <f t="shared" si="24"/>
        <v>0</v>
      </c>
      <c r="K109" s="306">
        <f t="shared" si="16"/>
        <v>0</v>
      </c>
      <c r="L109" s="305">
        <f t="shared" si="17"/>
        <v>34476</v>
      </c>
      <c r="M109" s="431">
        <f>Données!AE109</f>
        <v>0</v>
      </c>
      <c r="N109" s="433">
        <v>0</v>
      </c>
      <c r="O109" s="300">
        <f t="shared" si="14"/>
        <v>9869</v>
      </c>
      <c r="P109" s="305">
        <f t="shared" si="18"/>
        <v>34476</v>
      </c>
      <c r="Q109" s="306">
        <f t="shared" si="20"/>
        <v>305814.46158041991</v>
      </c>
      <c r="R109" s="305">
        <f t="shared" si="21"/>
        <v>670023.18211058271</v>
      </c>
      <c r="S109" s="299">
        <f t="shared" si="22"/>
        <v>864932.06472784327</v>
      </c>
      <c r="T109" s="305">
        <f t="shared" si="23"/>
        <v>0</v>
      </c>
      <c r="U109" s="428">
        <f t="shared" si="19"/>
        <v>1840769.7084188459</v>
      </c>
    </row>
    <row r="110" spans="1:21" x14ac:dyDescent="0.25">
      <c r="A110" s="108">
        <f>Données!A110</f>
        <v>5585</v>
      </c>
      <c r="B110" s="109" t="str">
        <f>Données!B110</f>
        <v>Jouxtens-Mézery</v>
      </c>
      <c r="C110" s="304">
        <f>Données!C110</f>
        <v>1455</v>
      </c>
      <c r="D110" s="300">
        <f t="shared" si="15"/>
        <v>1000</v>
      </c>
      <c r="E110" s="300">
        <f t="shared" si="24"/>
        <v>455</v>
      </c>
      <c r="F110" s="305">
        <f t="shared" si="24"/>
        <v>0</v>
      </c>
      <c r="G110" s="299">
        <f t="shared" si="24"/>
        <v>0</v>
      </c>
      <c r="H110" s="300">
        <f t="shared" si="24"/>
        <v>0</v>
      </c>
      <c r="I110" s="305">
        <f t="shared" si="24"/>
        <v>0</v>
      </c>
      <c r="J110" s="305">
        <f t="shared" si="24"/>
        <v>0</v>
      </c>
      <c r="K110" s="306">
        <f t="shared" si="16"/>
        <v>0</v>
      </c>
      <c r="L110" s="305">
        <f t="shared" si="17"/>
        <v>3365</v>
      </c>
      <c r="M110" s="431">
        <f>Données!AE110</f>
        <v>0</v>
      </c>
      <c r="N110" s="433">
        <v>0</v>
      </c>
      <c r="O110" s="300">
        <f t="shared" si="14"/>
        <v>1455</v>
      </c>
      <c r="P110" s="305">
        <f t="shared" si="18"/>
        <v>3365</v>
      </c>
      <c r="Q110" s="306">
        <f t="shared" si="20"/>
        <v>45086.639132588003</v>
      </c>
      <c r="R110" s="305">
        <f t="shared" si="21"/>
        <v>98782.4227349172</v>
      </c>
      <c r="S110" s="299">
        <f t="shared" si="22"/>
        <v>84420.942041106638</v>
      </c>
      <c r="T110" s="305">
        <f t="shared" si="23"/>
        <v>0</v>
      </c>
      <c r="U110" s="428">
        <f t="shared" si="19"/>
        <v>228290.00390861183</v>
      </c>
    </row>
    <row r="111" spans="1:21" x14ac:dyDescent="0.25">
      <c r="A111" s="108">
        <f>Données!A111</f>
        <v>5586</v>
      </c>
      <c r="B111" s="109" t="str">
        <f>Données!B111</f>
        <v>Lausanne</v>
      </c>
      <c r="C111" s="304">
        <f>Données!C111</f>
        <v>145707</v>
      </c>
      <c r="D111" s="300">
        <f t="shared" si="15"/>
        <v>1000</v>
      </c>
      <c r="E111" s="300">
        <f t="shared" si="24"/>
        <v>2000</v>
      </c>
      <c r="F111" s="305">
        <f t="shared" si="24"/>
        <v>2000</v>
      </c>
      <c r="G111" s="299">
        <f t="shared" si="24"/>
        <v>7000</v>
      </c>
      <c r="H111" s="300">
        <f t="shared" si="24"/>
        <v>3000</v>
      </c>
      <c r="I111" s="305">
        <f t="shared" si="24"/>
        <v>15000</v>
      </c>
      <c r="J111" s="305">
        <f t="shared" si="24"/>
        <v>15000</v>
      </c>
      <c r="K111" s="306">
        <f t="shared" si="16"/>
        <v>100707</v>
      </c>
      <c r="L111" s="305">
        <f t="shared" si="17"/>
        <v>1058656</v>
      </c>
      <c r="M111" s="431">
        <f>Données!AE111</f>
        <v>1</v>
      </c>
      <c r="N111" s="433">
        <v>1</v>
      </c>
      <c r="O111" s="300">
        <f t="shared" si="14"/>
        <v>0</v>
      </c>
      <c r="P111" s="305">
        <f t="shared" si="18"/>
        <v>0</v>
      </c>
      <c r="Q111" s="306">
        <f t="shared" si="20"/>
        <v>4515078.3010941576</v>
      </c>
      <c r="R111" s="305">
        <f t="shared" si="21"/>
        <v>0</v>
      </c>
      <c r="S111" s="299">
        <f t="shared" si="22"/>
        <v>0</v>
      </c>
      <c r="T111" s="305">
        <f t="shared" si="23"/>
        <v>0</v>
      </c>
      <c r="U111" s="428">
        <f t="shared" si="19"/>
        <v>4515078.3010941576</v>
      </c>
    </row>
    <row r="112" spans="1:21" x14ac:dyDescent="0.25">
      <c r="A112" s="108">
        <f>Données!A112</f>
        <v>5587</v>
      </c>
      <c r="B112" s="109" t="str">
        <f>Données!B112</f>
        <v>Le Mont-sur-Lausanne</v>
      </c>
      <c r="C112" s="304">
        <f>Données!C112</f>
        <v>9785</v>
      </c>
      <c r="D112" s="300">
        <f t="shared" si="15"/>
        <v>1000</v>
      </c>
      <c r="E112" s="300">
        <f t="shared" si="24"/>
        <v>2000</v>
      </c>
      <c r="F112" s="305">
        <f t="shared" si="24"/>
        <v>2000</v>
      </c>
      <c r="G112" s="299">
        <f t="shared" si="24"/>
        <v>4785</v>
      </c>
      <c r="H112" s="300">
        <f t="shared" si="24"/>
        <v>0</v>
      </c>
      <c r="I112" s="305">
        <f t="shared" si="24"/>
        <v>0</v>
      </c>
      <c r="J112" s="305">
        <f t="shared" si="24"/>
        <v>0</v>
      </c>
      <c r="K112" s="306">
        <f t="shared" si="16"/>
        <v>0</v>
      </c>
      <c r="L112" s="305">
        <f t="shared" si="17"/>
        <v>34140</v>
      </c>
      <c r="M112" s="431">
        <f>Données!AE112</f>
        <v>0</v>
      </c>
      <c r="N112" s="433">
        <v>0</v>
      </c>
      <c r="O112" s="300">
        <f t="shared" si="14"/>
        <v>9785</v>
      </c>
      <c r="P112" s="305">
        <f t="shared" si="18"/>
        <v>34140</v>
      </c>
      <c r="Q112" s="306">
        <f t="shared" si="20"/>
        <v>303211.5215892602</v>
      </c>
      <c r="R112" s="305">
        <f t="shared" si="21"/>
        <v>664320.27935475239</v>
      </c>
      <c r="S112" s="299">
        <f t="shared" si="22"/>
        <v>856502.51449729002</v>
      </c>
      <c r="T112" s="305">
        <f t="shared" si="23"/>
        <v>0</v>
      </c>
      <c r="U112" s="428">
        <f t="shared" si="19"/>
        <v>1824034.3154413025</v>
      </c>
    </row>
    <row r="113" spans="1:21" x14ac:dyDescent="0.25">
      <c r="A113" s="108">
        <f>Données!A113</f>
        <v>5588</v>
      </c>
      <c r="B113" s="109" t="str">
        <f>Données!B113</f>
        <v>Paudex</v>
      </c>
      <c r="C113" s="304">
        <f>Données!C113</f>
        <v>1483</v>
      </c>
      <c r="D113" s="300">
        <f t="shared" si="15"/>
        <v>1000</v>
      </c>
      <c r="E113" s="300">
        <f t="shared" si="24"/>
        <v>483</v>
      </c>
      <c r="F113" s="305">
        <f t="shared" si="24"/>
        <v>0</v>
      </c>
      <c r="G113" s="299">
        <f t="shared" si="24"/>
        <v>0</v>
      </c>
      <c r="H113" s="300">
        <f t="shared" si="24"/>
        <v>0</v>
      </c>
      <c r="I113" s="305">
        <f t="shared" si="24"/>
        <v>0</v>
      </c>
      <c r="J113" s="305">
        <f t="shared" si="24"/>
        <v>0</v>
      </c>
      <c r="K113" s="306">
        <f t="shared" si="16"/>
        <v>0</v>
      </c>
      <c r="L113" s="305">
        <f t="shared" si="17"/>
        <v>3449</v>
      </c>
      <c r="M113" s="431">
        <f>Données!AE113</f>
        <v>1</v>
      </c>
      <c r="N113" s="433">
        <v>1</v>
      </c>
      <c r="O113" s="300">
        <f t="shared" si="14"/>
        <v>0</v>
      </c>
      <c r="P113" s="305">
        <f t="shared" si="18"/>
        <v>0</v>
      </c>
      <c r="Q113" s="306">
        <f t="shared" si="20"/>
        <v>45954.285796307908</v>
      </c>
      <c r="R113" s="305">
        <f t="shared" si="21"/>
        <v>0</v>
      </c>
      <c r="S113" s="299">
        <f t="shared" si="22"/>
        <v>0</v>
      </c>
      <c r="T113" s="305">
        <f t="shared" si="23"/>
        <v>0</v>
      </c>
      <c r="U113" s="428">
        <f t="shared" si="19"/>
        <v>45954.285796307908</v>
      </c>
    </row>
    <row r="114" spans="1:21" x14ac:dyDescent="0.25">
      <c r="A114" s="108">
        <f>Données!A114</f>
        <v>5589</v>
      </c>
      <c r="B114" s="109" t="str">
        <f>Données!B114</f>
        <v>Prilly</v>
      </c>
      <c r="C114" s="304">
        <f>Données!C114</f>
        <v>13069</v>
      </c>
      <c r="D114" s="300">
        <f t="shared" si="15"/>
        <v>1000</v>
      </c>
      <c r="E114" s="300">
        <f t="shared" si="24"/>
        <v>2000</v>
      </c>
      <c r="F114" s="305">
        <f t="shared" si="24"/>
        <v>2000</v>
      </c>
      <c r="G114" s="299">
        <f t="shared" si="24"/>
        <v>7000</v>
      </c>
      <c r="H114" s="300">
        <f t="shared" si="24"/>
        <v>1069</v>
      </c>
      <c r="I114" s="305">
        <f t="shared" si="24"/>
        <v>0</v>
      </c>
      <c r="J114" s="305">
        <f t="shared" si="24"/>
        <v>0</v>
      </c>
      <c r="K114" s="306">
        <f t="shared" si="16"/>
        <v>0</v>
      </c>
      <c r="L114" s="305">
        <f t="shared" si="17"/>
        <v>48345</v>
      </c>
      <c r="M114" s="431">
        <f>Données!AE114</f>
        <v>1</v>
      </c>
      <c r="N114" s="433">
        <v>1</v>
      </c>
      <c r="O114" s="300">
        <f t="shared" si="14"/>
        <v>0</v>
      </c>
      <c r="P114" s="305">
        <f t="shared" si="18"/>
        <v>0</v>
      </c>
      <c r="Q114" s="306">
        <f t="shared" si="20"/>
        <v>404974.08029126638</v>
      </c>
      <c r="R114" s="305">
        <f t="shared" si="21"/>
        <v>0</v>
      </c>
      <c r="S114" s="299">
        <f t="shared" si="22"/>
        <v>0</v>
      </c>
      <c r="T114" s="305">
        <f t="shared" si="23"/>
        <v>0</v>
      </c>
      <c r="U114" s="428">
        <f t="shared" si="19"/>
        <v>404974.08029126638</v>
      </c>
    </row>
    <row r="115" spans="1:21" x14ac:dyDescent="0.25">
      <c r="A115" s="108">
        <f>Données!A115</f>
        <v>5590</v>
      </c>
      <c r="B115" s="109" t="str">
        <f>Données!B115</f>
        <v>Pully</v>
      </c>
      <c r="C115" s="304">
        <f>Données!C115</f>
        <v>19550</v>
      </c>
      <c r="D115" s="300">
        <f t="shared" si="15"/>
        <v>1000</v>
      </c>
      <c r="E115" s="300">
        <f t="shared" si="24"/>
        <v>2000</v>
      </c>
      <c r="F115" s="305">
        <f t="shared" si="24"/>
        <v>2000</v>
      </c>
      <c r="G115" s="299">
        <f t="shared" si="24"/>
        <v>7000</v>
      </c>
      <c r="H115" s="300">
        <f t="shared" si="24"/>
        <v>3000</v>
      </c>
      <c r="I115" s="305">
        <f t="shared" si="24"/>
        <v>4550</v>
      </c>
      <c r="J115" s="305">
        <f t="shared" si="24"/>
        <v>0</v>
      </c>
      <c r="K115" s="306">
        <f t="shared" si="16"/>
        <v>0</v>
      </c>
      <c r="L115" s="305">
        <f t="shared" si="17"/>
        <v>85300</v>
      </c>
      <c r="M115" s="431">
        <f>Données!AE115</f>
        <v>1</v>
      </c>
      <c r="N115" s="433">
        <v>1</v>
      </c>
      <c r="O115" s="300">
        <f t="shared" si="14"/>
        <v>0</v>
      </c>
      <c r="P115" s="305">
        <f t="shared" si="18"/>
        <v>0</v>
      </c>
      <c r="Q115" s="306">
        <f t="shared" si="20"/>
        <v>605803.29556157766</v>
      </c>
      <c r="R115" s="305">
        <f t="shared" si="21"/>
        <v>0</v>
      </c>
      <c r="S115" s="299">
        <f t="shared" si="22"/>
        <v>0</v>
      </c>
      <c r="T115" s="305">
        <f t="shared" si="23"/>
        <v>0</v>
      </c>
      <c r="U115" s="428">
        <f t="shared" si="19"/>
        <v>605803.29556157766</v>
      </c>
    </row>
    <row r="116" spans="1:21" x14ac:dyDescent="0.25">
      <c r="A116" s="108">
        <f>Données!A116</f>
        <v>5591</v>
      </c>
      <c r="B116" s="109" t="str">
        <f>Données!B116</f>
        <v>Renens</v>
      </c>
      <c r="C116" s="304">
        <f>Données!C116</f>
        <v>21827</v>
      </c>
      <c r="D116" s="300">
        <f t="shared" si="15"/>
        <v>1000</v>
      </c>
      <c r="E116" s="300">
        <f t="shared" si="24"/>
        <v>2000</v>
      </c>
      <c r="F116" s="305">
        <f t="shared" si="24"/>
        <v>2000</v>
      </c>
      <c r="G116" s="299">
        <f t="shared" si="24"/>
        <v>7000</v>
      </c>
      <c r="H116" s="300">
        <f t="shared" si="24"/>
        <v>3000</v>
      </c>
      <c r="I116" s="305">
        <f t="shared" si="24"/>
        <v>6827</v>
      </c>
      <c r="J116" s="305">
        <f t="shared" si="24"/>
        <v>0</v>
      </c>
      <c r="K116" s="306">
        <f t="shared" si="16"/>
        <v>0</v>
      </c>
      <c r="L116" s="305">
        <f t="shared" si="17"/>
        <v>98962</v>
      </c>
      <c r="M116" s="431">
        <f>Données!AE116</f>
        <v>1</v>
      </c>
      <c r="N116" s="433">
        <v>1</v>
      </c>
      <c r="O116" s="300">
        <f t="shared" si="14"/>
        <v>0</v>
      </c>
      <c r="P116" s="305">
        <f t="shared" si="18"/>
        <v>0</v>
      </c>
      <c r="Q116" s="306">
        <f t="shared" si="20"/>
        <v>676361.56175051432</v>
      </c>
      <c r="R116" s="305">
        <f t="shared" si="21"/>
        <v>0</v>
      </c>
      <c r="S116" s="299">
        <f t="shared" si="22"/>
        <v>0</v>
      </c>
      <c r="T116" s="305">
        <f t="shared" si="23"/>
        <v>0</v>
      </c>
      <c r="U116" s="428">
        <f t="shared" si="19"/>
        <v>676361.56175051432</v>
      </c>
    </row>
    <row r="117" spans="1:21" x14ac:dyDescent="0.25">
      <c r="A117" s="108">
        <f>Données!A117</f>
        <v>5592</v>
      </c>
      <c r="B117" s="109" t="str">
        <f>Données!B117</f>
        <v>Romanel-sur-Lausanne</v>
      </c>
      <c r="C117" s="304">
        <f>Données!C117</f>
        <v>4331</v>
      </c>
      <c r="D117" s="300">
        <f t="shared" si="15"/>
        <v>1000</v>
      </c>
      <c r="E117" s="300">
        <f t="shared" si="24"/>
        <v>2000</v>
      </c>
      <c r="F117" s="305">
        <f t="shared" si="24"/>
        <v>1331</v>
      </c>
      <c r="G117" s="299">
        <f t="shared" si="24"/>
        <v>0</v>
      </c>
      <c r="H117" s="300">
        <f t="shared" si="24"/>
        <v>0</v>
      </c>
      <c r="I117" s="305">
        <f t="shared" si="24"/>
        <v>0</v>
      </c>
      <c r="J117" s="305">
        <f t="shared" si="24"/>
        <v>0</v>
      </c>
      <c r="K117" s="306">
        <f t="shared" si="16"/>
        <v>0</v>
      </c>
      <c r="L117" s="305">
        <f t="shared" si="17"/>
        <v>12658.5</v>
      </c>
      <c r="M117" s="431">
        <f>Données!AE117</f>
        <v>0</v>
      </c>
      <c r="N117" s="433">
        <v>0</v>
      </c>
      <c r="O117" s="300">
        <f t="shared" si="14"/>
        <v>4331</v>
      </c>
      <c r="P117" s="305">
        <f t="shared" si="18"/>
        <v>12658.5</v>
      </c>
      <c r="Q117" s="306">
        <f t="shared" si="20"/>
        <v>134206.34644896127</v>
      </c>
      <c r="R117" s="305">
        <f t="shared" si="21"/>
        <v>294038.95042262983</v>
      </c>
      <c r="S117" s="299">
        <f t="shared" si="22"/>
        <v>317575.77855196089</v>
      </c>
      <c r="T117" s="305">
        <f t="shared" si="23"/>
        <v>0</v>
      </c>
      <c r="U117" s="428">
        <f t="shared" si="19"/>
        <v>745821.07542355196</v>
      </c>
    </row>
    <row r="118" spans="1:21" x14ac:dyDescent="0.25">
      <c r="A118" s="108">
        <f>Données!A118</f>
        <v>5601</v>
      </c>
      <c r="B118" s="109" t="str">
        <f>Données!B118</f>
        <v>Chexbres</v>
      </c>
      <c r="C118" s="304">
        <f>Données!C118</f>
        <v>2272</v>
      </c>
      <c r="D118" s="300">
        <f t="shared" si="15"/>
        <v>1000</v>
      </c>
      <c r="E118" s="300">
        <f t="shared" si="24"/>
        <v>1272</v>
      </c>
      <c r="F118" s="305">
        <f t="shared" si="24"/>
        <v>0</v>
      </c>
      <c r="G118" s="299">
        <f t="shared" si="24"/>
        <v>0</v>
      </c>
      <c r="H118" s="300">
        <f t="shared" si="24"/>
        <v>0</v>
      </c>
      <c r="I118" s="305">
        <f t="shared" si="24"/>
        <v>0</v>
      </c>
      <c r="J118" s="305">
        <f t="shared" si="24"/>
        <v>0</v>
      </c>
      <c r="K118" s="306">
        <f t="shared" si="16"/>
        <v>0</v>
      </c>
      <c r="L118" s="305">
        <f t="shared" si="17"/>
        <v>5816</v>
      </c>
      <c r="M118" s="431">
        <f>Données!AE118</f>
        <v>1</v>
      </c>
      <c r="N118" s="433">
        <v>1</v>
      </c>
      <c r="O118" s="300">
        <f t="shared" si="14"/>
        <v>0</v>
      </c>
      <c r="P118" s="305">
        <f t="shared" si="18"/>
        <v>0</v>
      </c>
      <c r="Q118" s="306">
        <f t="shared" si="20"/>
        <v>70403.329284700987</v>
      </c>
      <c r="R118" s="305">
        <f t="shared" si="21"/>
        <v>0</v>
      </c>
      <c r="S118" s="299">
        <f t="shared" si="22"/>
        <v>0</v>
      </c>
      <c r="T118" s="305">
        <f t="shared" si="23"/>
        <v>0</v>
      </c>
      <c r="U118" s="428">
        <f t="shared" si="19"/>
        <v>70403.329284700987</v>
      </c>
    </row>
    <row r="119" spans="1:21" x14ac:dyDescent="0.25">
      <c r="A119" s="108">
        <f>Données!A119</f>
        <v>5604</v>
      </c>
      <c r="B119" s="109" t="str">
        <f>Données!B119</f>
        <v>Forel (Lavaux)</v>
      </c>
      <c r="C119" s="304">
        <f>Données!C119</f>
        <v>2113</v>
      </c>
      <c r="D119" s="300">
        <f t="shared" si="15"/>
        <v>1000</v>
      </c>
      <c r="E119" s="300">
        <f t="shared" si="24"/>
        <v>1113</v>
      </c>
      <c r="F119" s="305">
        <f t="shared" si="24"/>
        <v>0</v>
      </c>
      <c r="G119" s="299">
        <f t="shared" si="24"/>
        <v>0</v>
      </c>
      <c r="H119" s="300">
        <f t="shared" si="24"/>
        <v>0</v>
      </c>
      <c r="I119" s="305">
        <f t="shared" si="24"/>
        <v>0</v>
      </c>
      <c r="J119" s="305">
        <f t="shared" si="24"/>
        <v>0</v>
      </c>
      <c r="K119" s="306">
        <f t="shared" si="16"/>
        <v>0</v>
      </c>
      <c r="L119" s="305">
        <f t="shared" si="17"/>
        <v>5339</v>
      </c>
      <c r="M119" s="431">
        <f>Données!AE119</f>
        <v>0</v>
      </c>
      <c r="N119" s="433">
        <v>0</v>
      </c>
      <c r="O119" s="300">
        <f t="shared" si="14"/>
        <v>2113</v>
      </c>
      <c r="P119" s="305">
        <f t="shared" si="18"/>
        <v>5339</v>
      </c>
      <c r="Q119" s="306">
        <f t="shared" si="20"/>
        <v>65476.335730005805</v>
      </c>
      <c r="R119" s="305">
        <f t="shared" si="21"/>
        <v>143455.16098892098</v>
      </c>
      <c r="S119" s="299">
        <f t="shared" si="22"/>
        <v>133944.54964560724</v>
      </c>
      <c r="T119" s="305">
        <f t="shared" si="23"/>
        <v>0</v>
      </c>
      <c r="U119" s="428">
        <f t="shared" si="19"/>
        <v>342876.04636453406</v>
      </c>
    </row>
    <row r="120" spans="1:21" x14ac:dyDescent="0.25">
      <c r="A120" s="108">
        <f>Données!A120</f>
        <v>5606</v>
      </c>
      <c r="B120" s="109" t="str">
        <f>Données!B120</f>
        <v>Lutry</v>
      </c>
      <c r="C120" s="304">
        <f>Données!C120</f>
        <v>10843</v>
      </c>
      <c r="D120" s="300">
        <f t="shared" si="15"/>
        <v>1000</v>
      </c>
      <c r="E120" s="300">
        <f t="shared" si="24"/>
        <v>2000</v>
      </c>
      <c r="F120" s="305">
        <f t="shared" si="24"/>
        <v>2000</v>
      </c>
      <c r="G120" s="299">
        <f t="shared" si="24"/>
        <v>5843</v>
      </c>
      <c r="H120" s="300">
        <f t="shared" si="24"/>
        <v>0</v>
      </c>
      <c r="I120" s="305">
        <f t="shared" si="24"/>
        <v>0</v>
      </c>
      <c r="J120" s="305">
        <f t="shared" si="24"/>
        <v>0</v>
      </c>
      <c r="K120" s="306">
        <f t="shared" si="16"/>
        <v>0</v>
      </c>
      <c r="L120" s="305">
        <f t="shared" si="17"/>
        <v>38372</v>
      </c>
      <c r="M120" s="431">
        <f>Données!AE120</f>
        <v>1</v>
      </c>
      <c r="N120" s="433">
        <v>1</v>
      </c>
      <c r="O120" s="300">
        <f t="shared" si="14"/>
        <v>0</v>
      </c>
      <c r="P120" s="305">
        <f t="shared" si="18"/>
        <v>0</v>
      </c>
      <c r="Q120" s="306">
        <f t="shared" si="20"/>
        <v>335996.17052553379</v>
      </c>
      <c r="R120" s="305">
        <f t="shared" si="21"/>
        <v>0</v>
      </c>
      <c r="S120" s="299">
        <f t="shared" si="22"/>
        <v>0</v>
      </c>
      <c r="T120" s="305">
        <f t="shared" si="23"/>
        <v>0</v>
      </c>
      <c r="U120" s="428">
        <f t="shared" si="19"/>
        <v>335996.17052553379</v>
      </c>
    </row>
    <row r="121" spans="1:21" x14ac:dyDescent="0.25">
      <c r="A121" s="108">
        <f>Données!A121</f>
        <v>5607</v>
      </c>
      <c r="B121" s="109" t="str">
        <f>Données!B121</f>
        <v>Puidoux</v>
      </c>
      <c r="C121" s="304">
        <f>Données!C121</f>
        <v>3014</v>
      </c>
      <c r="D121" s="300">
        <f t="shared" si="15"/>
        <v>1000</v>
      </c>
      <c r="E121" s="300">
        <f t="shared" si="24"/>
        <v>2000</v>
      </c>
      <c r="F121" s="305">
        <f t="shared" si="24"/>
        <v>14</v>
      </c>
      <c r="G121" s="299">
        <f t="shared" si="24"/>
        <v>0</v>
      </c>
      <c r="H121" s="300">
        <f t="shared" si="24"/>
        <v>0</v>
      </c>
      <c r="I121" s="305">
        <f t="shared" si="24"/>
        <v>0</v>
      </c>
      <c r="J121" s="305">
        <f t="shared" si="24"/>
        <v>0</v>
      </c>
      <c r="K121" s="306">
        <f t="shared" si="16"/>
        <v>0</v>
      </c>
      <c r="L121" s="305">
        <f t="shared" si="17"/>
        <v>8049</v>
      </c>
      <c r="M121" s="431">
        <f>Données!AE121</f>
        <v>1</v>
      </c>
      <c r="N121" s="433">
        <v>1</v>
      </c>
      <c r="O121" s="300">
        <f t="shared" si="14"/>
        <v>0</v>
      </c>
      <c r="P121" s="305">
        <f t="shared" si="18"/>
        <v>0</v>
      </c>
      <c r="Q121" s="306">
        <f t="shared" si="20"/>
        <v>93395.965873278517</v>
      </c>
      <c r="R121" s="305">
        <f t="shared" si="21"/>
        <v>0</v>
      </c>
      <c r="S121" s="299">
        <f t="shared" si="22"/>
        <v>0</v>
      </c>
      <c r="T121" s="305">
        <f t="shared" si="23"/>
        <v>0</v>
      </c>
      <c r="U121" s="428">
        <f t="shared" si="19"/>
        <v>93395.965873278517</v>
      </c>
    </row>
    <row r="122" spans="1:21" x14ac:dyDescent="0.25">
      <c r="A122" s="108">
        <f>Données!A122</f>
        <v>5609</v>
      </c>
      <c r="B122" s="109" t="str">
        <f>Données!B122</f>
        <v>Rivaz</v>
      </c>
      <c r="C122" s="304">
        <f>Données!C122</f>
        <v>330</v>
      </c>
      <c r="D122" s="300">
        <f t="shared" si="15"/>
        <v>330</v>
      </c>
      <c r="E122" s="300">
        <f t="shared" si="24"/>
        <v>0</v>
      </c>
      <c r="F122" s="305">
        <f t="shared" si="24"/>
        <v>0</v>
      </c>
      <c r="G122" s="299">
        <f t="shared" si="24"/>
        <v>0</v>
      </c>
      <c r="H122" s="300">
        <f t="shared" si="24"/>
        <v>0</v>
      </c>
      <c r="I122" s="305">
        <f t="shared" si="24"/>
        <v>0</v>
      </c>
      <c r="J122" s="305">
        <f t="shared" si="24"/>
        <v>0</v>
      </c>
      <c r="K122" s="306">
        <f t="shared" si="16"/>
        <v>0</v>
      </c>
      <c r="L122" s="305">
        <f t="shared" si="17"/>
        <v>660</v>
      </c>
      <c r="M122" s="431">
        <f>Données!AE122</f>
        <v>1</v>
      </c>
      <c r="N122" s="433">
        <v>1</v>
      </c>
      <c r="O122" s="300">
        <f t="shared" si="14"/>
        <v>0</v>
      </c>
      <c r="P122" s="305">
        <f t="shared" si="18"/>
        <v>0</v>
      </c>
      <c r="Q122" s="306">
        <f t="shared" si="20"/>
        <v>10225.835679556041</v>
      </c>
      <c r="R122" s="305">
        <f t="shared" si="21"/>
        <v>0</v>
      </c>
      <c r="S122" s="299">
        <f t="shared" si="22"/>
        <v>0</v>
      </c>
      <c r="T122" s="305">
        <f t="shared" si="23"/>
        <v>0</v>
      </c>
      <c r="U122" s="428">
        <f t="shared" si="19"/>
        <v>10225.835679556041</v>
      </c>
    </row>
    <row r="123" spans="1:21" x14ac:dyDescent="0.25">
      <c r="A123" s="108">
        <f>Données!A123</f>
        <v>5610</v>
      </c>
      <c r="B123" s="109" t="str">
        <f>Données!B123</f>
        <v>St-Saphorin (Lavaux)</v>
      </c>
      <c r="C123" s="304">
        <f>Données!C123</f>
        <v>393</v>
      </c>
      <c r="D123" s="300">
        <f t="shared" si="15"/>
        <v>393</v>
      </c>
      <c r="E123" s="300">
        <f t="shared" si="24"/>
        <v>0</v>
      </c>
      <c r="F123" s="305">
        <f t="shared" si="24"/>
        <v>0</v>
      </c>
      <c r="G123" s="299">
        <f t="shared" si="24"/>
        <v>0</v>
      </c>
      <c r="H123" s="300">
        <f t="shared" si="24"/>
        <v>0</v>
      </c>
      <c r="I123" s="305">
        <f t="shared" si="24"/>
        <v>0</v>
      </c>
      <c r="J123" s="305">
        <f t="shared" si="24"/>
        <v>0</v>
      </c>
      <c r="K123" s="306">
        <f t="shared" si="16"/>
        <v>0</v>
      </c>
      <c r="L123" s="305">
        <f t="shared" si="17"/>
        <v>786</v>
      </c>
      <c r="M123" s="431">
        <f>Données!AE123</f>
        <v>1</v>
      </c>
      <c r="N123" s="433">
        <v>1</v>
      </c>
      <c r="O123" s="300">
        <f t="shared" si="14"/>
        <v>0</v>
      </c>
      <c r="P123" s="305">
        <f t="shared" si="18"/>
        <v>0</v>
      </c>
      <c r="Q123" s="306">
        <f t="shared" si="20"/>
        <v>12178.04067292583</v>
      </c>
      <c r="R123" s="305">
        <f t="shared" si="21"/>
        <v>0</v>
      </c>
      <c r="S123" s="299">
        <f t="shared" si="22"/>
        <v>0</v>
      </c>
      <c r="T123" s="305">
        <f t="shared" si="23"/>
        <v>0</v>
      </c>
      <c r="U123" s="428">
        <f t="shared" si="19"/>
        <v>12178.04067292583</v>
      </c>
    </row>
    <row r="124" spans="1:21" x14ac:dyDescent="0.25">
      <c r="A124" s="108">
        <f>Données!A124</f>
        <v>5611</v>
      </c>
      <c r="B124" s="109" t="str">
        <f>Données!B124</f>
        <v>Savigny</v>
      </c>
      <c r="C124" s="304">
        <f>Données!C124</f>
        <v>3598</v>
      </c>
      <c r="D124" s="300">
        <f t="shared" si="15"/>
        <v>1000</v>
      </c>
      <c r="E124" s="300">
        <f t="shared" si="24"/>
        <v>2000</v>
      </c>
      <c r="F124" s="305">
        <f t="shared" si="24"/>
        <v>598</v>
      </c>
      <c r="G124" s="299">
        <f t="shared" si="24"/>
        <v>0</v>
      </c>
      <c r="H124" s="300">
        <f t="shared" si="24"/>
        <v>0</v>
      </c>
      <c r="I124" s="305">
        <f t="shared" si="24"/>
        <v>0</v>
      </c>
      <c r="J124" s="305">
        <f t="shared" si="24"/>
        <v>0</v>
      </c>
      <c r="K124" s="306">
        <f t="shared" si="16"/>
        <v>0</v>
      </c>
      <c r="L124" s="305">
        <f t="shared" si="17"/>
        <v>10093</v>
      </c>
      <c r="M124" s="431">
        <f>Données!AE124</f>
        <v>1</v>
      </c>
      <c r="N124" s="433">
        <v>1</v>
      </c>
      <c r="O124" s="300">
        <f t="shared" si="14"/>
        <v>0</v>
      </c>
      <c r="P124" s="305">
        <f t="shared" si="18"/>
        <v>0</v>
      </c>
      <c r="Q124" s="306">
        <f t="shared" si="20"/>
        <v>111492.59628800799</v>
      </c>
      <c r="R124" s="305">
        <f t="shared" si="21"/>
        <v>0</v>
      </c>
      <c r="S124" s="299">
        <f t="shared" si="22"/>
        <v>0</v>
      </c>
      <c r="T124" s="305">
        <f t="shared" si="23"/>
        <v>0</v>
      </c>
      <c r="U124" s="428">
        <f t="shared" si="19"/>
        <v>111492.59628800799</v>
      </c>
    </row>
    <row r="125" spans="1:21" x14ac:dyDescent="0.25">
      <c r="A125" s="108">
        <f>Données!A125</f>
        <v>5613</v>
      </c>
      <c r="B125" s="109" t="str">
        <f>Données!B125</f>
        <v>Bourg-en-Lavaux</v>
      </c>
      <c r="C125" s="304">
        <f>Données!C125</f>
        <v>5558</v>
      </c>
      <c r="D125" s="300">
        <f t="shared" si="15"/>
        <v>1000</v>
      </c>
      <c r="E125" s="300">
        <f t="shared" si="24"/>
        <v>2000</v>
      </c>
      <c r="F125" s="305">
        <f t="shared" si="24"/>
        <v>2000</v>
      </c>
      <c r="G125" s="299">
        <f t="shared" si="24"/>
        <v>558</v>
      </c>
      <c r="H125" s="300">
        <f t="shared" si="24"/>
        <v>0</v>
      </c>
      <c r="I125" s="305">
        <f t="shared" si="24"/>
        <v>0</v>
      </c>
      <c r="J125" s="305">
        <f t="shared" si="24"/>
        <v>0</v>
      </c>
      <c r="K125" s="306">
        <f t="shared" si="16"/>
        <v>0</v>
      </c>
      <c r="L125" s="305">
        <f t="shared" si="17"/>
        <v>17232</v>
      </c>
      <c r="M125" s="431">
        <f>Données!AE125</f>
        <v>1</v>
      </c>
      <c r="N125" s="433">
        <v>1</v>
      </c>
      <c r="O125" s="300">
        <f t="shared" si="14"/>
        <v>0</v>
      </c>
      <c r="P125" s="305">
        <f t="shared" si="18"/>
        <v>0</v>
      </c>
      <c r="Q125" s="306">
        <f t="shared" si="20"/>
        <v>172227.86274840144</v>
      </c>
      <c r="R125" s="305">
        <f t="shared" si="21"/>
        <v>0</v>
      </c>
      <c r="S125" s="299">
        <f t="shared" si="22"/>
        <v>0</v>
      </c>
      <c r="T125" s="305">
        <f t="shared" si="23"/>
        <v>0</v>
      </c>
      <c r="U125" s="428">
        <f t="shared" si="19"/>
        <v>172227.86274840144</v>
      </c>
    </row>
    <row r="126" spans="1:21" x14ac:dyDescent="0.25">
      <c r="A126" s="108">
        <f>Données!A126</f>
        <v>5621</v>
      </c>
      <c r="B126" s="109" t="str">
        <f>Données!B126</f>
        <v>Aclens</v>
      </c>
      <c r="C126" s="304">
        <f>Données!C126</f>
        <v>609</v>
      </c>
      <c r="D126" s="300">
        <f t="shared" si="15"/>
        <v>609</v>
      </c>
      <c r="E126" s="300">
        <f t="shared" si="24"/>
        <v>0</v>
      </c>
      <c r="F126" s="305">
        <f t="shared" si="24"/>
        <v>0</v>
      </c>
      <c r="G126" s="299">
        <f t="shared" si="24"/>
        <v>0</v>
      </c>
      <c r="H126" s="300">
        <f t="shared" si="24"/>
        <v>0</v>
      </c>
      <c r="I126" s="305">
        <f t="shared" si="24"/>
        <v>0</v>
      </c>
      <c r="J126" s="305">
        <f t="shared" si="24"/>
        <v>0</v>
      </c>
      <c r="K126" s="306">
        <f t="shared" si="16"/>
        <v>0</v>
      </c>
      <c r="L126" s="305">
        <f t="shared" si="17"/>
        <v>1218</v>
      </c>
      <c r="M126" s="431">
        <f>Données!AE126</f>
        <v>0</v>
      </c>
      <c r="N126" s="433">
        <v>0</v>
      </c>
      <c r="O126" s="300">
        <f t="shared" si="14"/>
        <v>609</v>
      </c>
      <c r="P126" s="305">
        <f t="shared" si="18"/>
        <v>1218</v>
      </c>
      <c r="Q126" s="306">
        <f t="shared" si="20"/>
        <v>18871.314935907969</v>
      </c>
      <c r="R126" s="305">
        <f t="shared" si="21"/>
        <v>41346.044979769467</v>
      </c>
      <c r="S126" s="299">
        <f t="shared" si="22"/>
        <v>30557.119585755689</v>
      </c>
      <c r="T126" s="305">
        <f t="shared" si="23"/>
        <v>0</v>
      </c>
      <c r="U126" s="428">
        <f t="shared" si="19"/>
        <v>90774.479501433118</v>
      </c>
    </row>
    <row r="127" spans="1:21" x14ac:dyDescent="0.25">
      <c r="A127" s="108">
        <f>Données!A127</f>
        <v>5622</v>
      </c>
      <c r="B127" s="109" t="str">
        <f>Données!B127</f>
        <v>Bremblens</v>
      </c>
      <c r="C127" s="304">
        <f>Données!C127</f>
        <v>596</v>
      </c>
      <c r="D127" s="300">
        <f t="shared" si="15"/>
        <v>596</v>
      </c>
      <c r="E127" s="300">
        <f t="shared" si="24"/>
        <v>0</v>
      </c>
      <c r="F127" s="305">
        <f t="shared" si="24"/>
        <v>0</v>
      </c>
      <c r="G127" s="299">
        <f t="shared" si="24"/>
        <v>0</v>
      </c>
      <c r="H127" s="300">
        <f t="shared" si="24"/>
        <v>0</v>
      </c>
      <c r="I127" s="305">
        <f t="shared" si="24"/>
        <v>0</v>
      </c>
      <c r="J127" s="305">
        <f t="shared" si="24"/>
        <v>0</v>
      </c>
      <c r="K127" s="306">
        <f t="shared" si="16"/>
        <v>0</v>
      </c>
      <c r="L127" s="305">
        <f t="shared" si="17"/>
        <v>1192</v>
      </c>
      <c r="M127" s="431">
        <f>Données!AE127</f>
        <v>0</v>
      </c>
      <c r="N127" s="433">
        <v>0</v>
      </c>
      <c r="O127" s="300">
        <f t="shared" si="14"/>
        <v>596</v>
      </c>
      <c r="P127" s="305">
        <f t="shared" si="18"/>
        <v>1192</v>
      </c>
      <c r="Q127" s="306">
        <f t="shared" si="20"/>
        <v>18468.478984895155</v>
      </c>
      <c r="R127" s="305">
        <f t="shared" si="21"/>
        <v>40463.452886605257</v>
      </c>
      <c r="S127" s="299">
        <f t="shared" si="22"/>
        <v>29904.832960772397</v>
      </c>
      <c r="T127" s="305">
        <f t="shared" si="23"/>
        <v>0</v>
      </c>
      <c r="U127" s="428">
        <f t="shared" si="19"/>
        <v>88836.764832272806</v>
      </c>
    </row>
    <row r="128" spans="1:21" x14ac:dyDescent="0.25">
      <c r="A128" s="108">
        <f>Données!A128</f>
        <v>5623</v>
      </c>
      <c r="B128" s="109" t="str">
        <f>Données!B128</f>
        <v>Buchillon</v>
      </c>
      <c r="C128" s="304">
        <f>Données!C128</f>
        <v>682</v>
      </c>
      <c r="D128" s="300">
        <f t="shared" si="15"/>
        <v>682</v>
      </c>
      <c r="E128" s="300">
        <f t="shared" si="24"/>
        <v>0</v>
      </c>
      <c r="F128" s="305">
        <f t="shared" si="24"/>
        <v>0</v>
      </c>
      <c r="G128" s="299">
        <f t="shared" si="24"/>
        <v>0</v>
      </c>
      <c r="H128" s="300">
        <f t="shared" si="24"/>
        <v>0</v>
      </c>
      <c r="I128" s="305">
        <f t="shared" si="24"/>
        <v>0</v>
      </c>
      <c r="J128" s="305">
        <f t="shared" si="24"/>
        <v>0</v>
      </c>
      <c r="K128" s="306">
        <f t="shared" si="16"/>
        <v>0</v>
      </c>
      <c r="L128" s="305">
        <f t="shared" si="17"/>
        <v>1364</v>
      </c>
      <c r="M128" s="431">
        <f>Données!AE128</f>
        <v>1</v>
      </c>
      <c r="N128" s="433">
        <v>1</v>
      </c>
      <c r="O128" s="300">
        <f t="shared" si="14"/>
        <v>0</v>
      </c>
      <c r="P128" s="305">
        <f t="shared" si="18"/>
        <v>0</v>
      </c>
      <c r="Q128" s="306">
        <f t="shared" si="20"/>
        <v>21133.393737749153</v>
      </c>
      <c r="R128" s="305">
        <f t="shared" si="21"/>
        <v>0</v>
      </c>
      <c r="S128" s="299">
        <f t="shared" si="22"/>
        <v>0</v>
      </c>
      <c r="T128" s="305">
        <f t="shared" si="23"/>
        <v>0</v>
      </c>
      <c r="U128" s="428">
        <f t="shared" si="19"/>
        <v>21133.393737749153</v>
      </c>
    </row>
    <row r="129" spans="1:21" x14ac:dyDescent="0.25">
      <c r="A129" s="108">
        <f>Données!A129</f>
        <v>5624</v>
      </c>
      <c r="B129" s="109" t="str">
        <f>Données!B129</f>
        <v>Bussigny</v>
      </c>
      <c r="C129" s="304">
        <f>Données!C129</f>
        <v>12138</v>
      </c>
      <c r="D129" s="300">
        <f t="shared" si="15"/>
        <v>1000</v>
      </c>
      <c r="E129" s="300">
        <f t="shared" si="24"/>
        <v>2000</v>
      </c>
      <c r="F129" s="305">
        <f t="shared" si="24"/>
        <v>2000</v>
      </c>
      <c r="G129" s="299">
        <f t="shared" si="24"/>
        <v>7000</v>
      </c>
      <c r="H129" s="300">
        <f t="shared" si="24"/>
        <v>138</v>
      </c>
      <c r="I129" s="305">
        <f t="shared" si="24"/>
        <v>0</v>
      </c>
      <c r="J129" s="305">
        <f t="shared" si="24"/>
        <v>0</v>
      </c>
      <c r="K129" s="306">
        <f t="shared" si="16"/>
        <v>0</v>
      </c>
      <c r="L129" s="305">
        <f t="shared" si="17"/>
        <v>43690</v>
      </c>
      <c r="M129" s="431">
        <f>Données!AE129</f>
        <v>1</v>
      </c>
      <c r="N129" s="433">
        <v>1</v>
      </c>
      <c r="O129" s="300">
        <f t="shared" si="14"/>
        <v>0</v>
      </c>
      <c r="P129" s="305">
        <f t="shared" si="18"/>
        <v>0</v>
      </c>
      <c r="Q129" s="306">
        <f t="shared" si="20"/>
        <v>376124.82872257946</v>
      </c>
      <c r="R129" s="305">
        <f t="shared" si="21"/>
        <v>0</v>
      </c>
      <c r="S129" s="299">
        <f t="shared" si="22"/>
        <v>0</v>
      </c>
      <c r="T129" s="305">
        <f t="shared" si="23"/>
        <v>0</v>
      </c>
      <c r="U129" s="428">
        <f t="shared" si="19"/>
        <v>376124.82872257946</v>
      </c>
    </row>
    <row r="130" spans="1:21" x14ac:dyDescent="0.25">
      <c r="A130" s="108">
        <f>Données!A130</f>
        <v>5627</v>
      </c>
      <c r="B130" s="109" t="str">
        <f>Données!B130</f>
        <v>Chavannes-près-Renens</v>
      </c>
      <c r="C130" s="304">
        <f>Données!C130</f>
        <v>10735</v>
      </c>
      <c r="D130" s="300">
        <f t="shared" si="15"/>
        <v>1000</v>
      </c>
      <c r="E130" s="300">
        <f t="shared" si="24"/>
        <v>2000</v>
      </c>
      <c r="F130" s="305">
        <f t="shared" si="24"/>
        <v>2000</v>
      </c>
      <c r="G130" s="299">
        <f t="shared" si="24"/>
        <v>5735</v>
      </c>
      <c r="H130" s="300">
        <f t="shared" si="24"/>
        <v>0</v>
      </c>
      <c r="I130" s="305">
        <f t="shared" si="24"/>
        <v>0</v>
      </c>
      <c r="J130" s="305">
        <f t="shared" si="24"/>
        <v>0</v>
      </c>
      <c r="K130" s="306">
        <f t="shared" si="16"/>
        <v>0</v>
      </c>
      <c r="L130" s="305">
        <f t="shared" si="17"/>
        <v>37940</v>
      </c>
      <c r="M130" s="431">
        <f>Données!AE130</f>
        <v>1</v>
      </c>
      <c r="N130" s="433">
        <v>1</v>
      </c>
      <c r="O130" s="300">
        <f t="shared" si="14"/>
        <v>0</v>
      </c>
      <c r="P130" s="305">
        <f t="shared" si="18"/>
        <v>0</v>
      </c>
      <c r="Q130" s="306">
        <f t="shared" si="20"/>
        <v>332649.53339404275</v>
      </c>
      <c r="R130" s="305">
        <f t="shared" si="21"/>
        <v>0</v>
      </c>
      <c r="S130" s="299">
        <f t="shared" si="22"/>
        <v>0</v>
      </c>
      <c r="T130" s="305">
        <f t="shared" si="23"/>
        <v>0</v>
      </c>
      <c r="U130" s="428">
        <f t="shared" si="19"/>
        <v>332649.53339404275</v>
      </c>
    </row>
    <row r="131" spans="1:21" x14ac:dyDescent="0.25">
      <c r="A131" s="108">
        <f>Données!A131</f>
        <v>5628</v>
      </c>
      <c r="B131" s="109" t="str">
        <f>Données!B131</f>
        <v>Chigny</v>
      </c>
      <c r="C131" s="304">
        <f>Données!C131</f>
        <v>410</v>
      </c>
      <c r="D131" s="300">
        <f t="shared" si="15"/>
        <v>410</v>
      </c>
      <c r="E131" s="300">
        <f t="shared" si="24"/>
        <v>0</v>
      </c>
      <c r="F131" s="305">
        <f t="shared" si="24"/>
        <v>0</v>
      </c>
      <c r="G131" s="299">
        <f t="shared" si="24"/>
        <v>0</v>
      </c>
      <c r="H131" s="300">
        <f t="shared" si="24"/>
        <v>0</v>
      </c>
      <c r="I131" s="305">
        <f t="shared" si="24"/>
        <v>0</v>
      </c>
      <c r="J131" s="305">
        <f t="shared" si="24"/>
        <v>0</v>
      </c>
      <c r="K131" s="306">
        <f t="shared" si="16"/>
        <v>0</v>
      </c>
      <c r="L131" s="305">
        <f t="shared" si="17"/>
        <v>820</v>
      </c>
      <c r="M131" s="431">
        <f>Données!AE131</f>
        <v>0</v>
      </c>
      <c r="N131" s="433">
        <v>0</v>
      </c>
      <c r="O131" s="300">
        <f t="shared" si="14"/>
        <v>410</v>
      </c>
      <c r="P131" s="305">
        <f t="shared" si="18"/>
        <v>820</v>
      </c>
      <c r="Q131" s="306">
        <f t="shared" si="20"/>
        <v>12704.826147327203</v>
      </c>
      <c r="R131" s="305">
        <f t="shared" si="21"/>
        <v>27835.596784409659</v>
      </c>
      <c r="S131" s="299">
        <f t="shared" si="22"/>
        <v>20572.116634088394</v>
      </c>
      <c r="T131" s="305">
        <f t="shared" si="23"/>
        <v>0</v>
      </c>
      <c r="U131" s="428">
        <f t="shared" si="19"/>
        <v>61112.539565825253</v>
      </c>
    </row>
    <row r="132" spans="1:21" x14ac:dyDescent="0.25">
      <c r="A132" s="108">
        <f>Données!A132</f>
        <v>5629</v>
      </c>
      <c r="B132" s="109" t="str">
        <f>Données!B132</f>
        <v>Clarmont</v>
      </c>
      <c r="C132" s="304">
        <f>Données!C132</f>
        <v>232</v>
      </c>
      <c r="D132" s="300">
        <f t="shared" si="15"/>
        <v>232</v>
      </c>
      <c r="E132" s="300">
        <f t="shared" si="24"/>
        <v>0</v>
      </c>
      <c r="F132" s="305">
        <f t="shared" si="24"/>
        <v>0</v>
      </c>
      <c r="G132" s="299">
        <f t="shared" si="24"/>
        <v>0</v>
      </c>
      <c r="H132" s="300">
        <f t="shared" si="24"/>
        <v>0</v>
      </c>
      <c r="I132" s="305">
        <f t="shared" si="24"/>
        <v>0</v>
      </c>
      <c r="J132" s="305">
        <f t="shared" si="24"/>
        <v>0</v>
      </c>
      <c r="K132" s="306">
        <f t="shared" si="16"/>
        <v>0</v>
      </c>
      <c r="L132" s="305">
        <f t="shared" si="17"/>
        <v>464</v>
      </c>
      <c r="M132" s="431">
        <f>Données!AE132</f>
        <v>0</v>
      </c>
      <c r="N132" s="433">
        <v>0</v>
      </c>
      <c r="O132" s="300">
        <f t="shared" si="14"/>
        <v>232</v>
      </c>
      <c r="P132" s="305">
        <f t="shared" si="18"/>
        <v>464</v>
      </c>
      <c r="Q132" s="306">
        <f t="shared" si="20"/>
        <v>7189.0723565363687</v>
      </c>
      <c r="R132" s="305">
        <f t="shared" si="21"/>
        <v>15750.874278007415</v>
      </c>
      <c r="S132" s="299">
        <f t="shared" si="22"/>
        <v>11640.807461240262</v>
      </c>
      <c r="T132" s="305">
        <f t="shared" si="23"/>
        <v>0</v>
      </c>
      <c r="U132" s="428">
        <f t="shared" si="19"/>
        <v>34580.754095784047</v>
      </c>
    </row>
    <row r="133" spans="1:21" x14ac:dyDescent="0.25">
      <c r="A133" s="108">
        <f>Données!A133</f>
        <v>5631</v>
      </c>
      <c r="B133" s="109" t="str">
        <f>Données!B133</f>
        <v>Denens</v>
      </c>
      <c r="C133" s="304">
        <f>Données!C133</f>
        <v>748</v>
      </c>
      <c r="D133" s="300">
        <f t="shared" si="15"/>
        <v>748</v>
      </c>
      <c r="E133" s="300">
        <f t="shared" si="24"/>
        <v>0</v>
      </c>
      <c r="F133" s="305">
        <f t="shared" si="24"/>
        <v>0</v>
      </c>
      <c r="G133" s="299">
        <f t="shared" si="24"/>
        <v>0</v>
      </c>
      <c r="H133" s="300">
        <f t="shared" si="24"/>
        <v>0</v>
      </c>
      <c r="I133" s="305">
        <f t="shared" si="24"/>
        <v>0</v>
      </c>
      <c r="J133" s="305">
        <f t="shared" si="24"/>
        <v>0</v>
      </c>
      <c r="K133" s="306">
        <f t="shared" si="16"/>
        <v>0</v>
      </c>
      <c r="L133" s="305">
        <f t="shared" si="17"/>
        <v>1496</v>
      </c>
      <c r="M133" s="431">
        <f>Données!AE133</f>
        <v>0</v>
      </c>
      <c r="N133" s="433">
        <v>0</v>
      </c>
      <c r="O133" s="300">
        <f t="shared" si="14"/>
        <v>748</v>
      </c>
      <c r="P133" s="305">
        <f t="shared" si="18"/>
        <v>1496</v>
      </c>
      <c r="Q133" s="306">
        <f t="shared" si="20"/>
        <v>23178.560873660361</v>
      </c>
      <c r="R133" s="305">
        <f t="shared" si="21"/>
        <v>50782.991206679086</v>
      </c>
      <c r="S133" s="299">
        <f t="shared" si="22"/>
        <v>37531.568883653948</v>
      </c>
      <c r="T133" s="305">
        <f t="shared" si="23"/>
        <v>0</v>
      </c>
      <c r="U133" s="428">
        <f t="shared" si="19"/>
        <v>111493.12096399339</v>
      </c>
    </row>
    <row r="134" spans="1:21" x14ac:dyDescent="0.25">
      <c r="A134" s="108">
        <f>Données!A134</f>
        <v>5632</v>
      </c>
      <c r="B134" s="109" t="str">
        <f>Données!B134</f>
        <v>Denges</v>
      </c>
      <c r="C134" s="304">
        <f>Données!C134</f>
        <v>1844</v>
      </c>
      <c r="D134" s="300">
        <f t="shared" si="15"/>
        <v>1000</v>
      </c>
      <c r="E134" s="300">
        <f t="shared" si="24"/>
        <v>844</v>
      </c>
      <c r="F134" s="305">
        <f t="shared" si="24"/>
        <v>0</v>
      </c>
      <c r="G134" s="299">
        <f t="shared" si="24"/>
        <v>0</v>
      </c>
      <c r="H134" s="300">
        <f t="shared" si="24"/>
        <v>0</v>
      </c>
      <c r="I134" s="305">
        <f t="shared" si="24"/>
        <v>0</v>
      </c>
      <c r="J134" s="305">
        <f t="shared" si="24"/>
        <v>0</v>
      </c>
      <c r="K134" s="306">
        <f t="shared" si="16"/>
        <v>0</v>
      </c>
      <c r="L134" s="305">
        <f t="shared" si="17"/>
        <v>4532</v>
      </c>
      <c r="M134" s="431">
        <f>Données!AE134</f>
        <v>0</v>
      </c>
      <c r="N134" s="433">
        <v>0</v>
      </c>
      <c r="O134" s="300">
        <f t="shared" ref="O134:O196" si="25">IF(N134=0,C134,0)</f>
        <v>1844</v>
      </c>
      <c r="P134" s="305">
        <f t="shared" si="18"/>
        <v>4532</v>
      </c>
      <c r="Q134" s="306">
        <f t="shared" si="20"/>
        <v>57140.730282125274</v>
      </c>
      <c r="R134" s="305">
        <f t="shared" si="21"/>
        <v>125192.29383036929</v>
      </c>
      <c r="S134" s="299">
        <f t="shared" si="22"/>
        <v>113698.57632401049</v>
      </c>
      <c r="T134" s="305">
        <f t="shared" si="23"/>
        <v>0</v>
      </c>
      <c r="U134" s="428">
        <f t="shared" si="19"/>
        <v>296031.60043650505</v>
      </c>
    </row>
    <row r="135" spans="1:21" x14ac:dyDescent="0.25">
      <c r="A135" s="108">
        <f>Données!A135</f>
        <v>5633</v>
      </c>
      <c r="B135" s="109" t="str">
        <f>Données!B135</f>
        <v>Echandens</v>
      </c>
      <c r="C135" s="304">
        <f>Données!C135</f>
        <v>3116</v>
      </c>
      <c r="D135" s="300">
        <f t="shared" ref="D135:D197" si="26">IF(C135&gt;$D$5,$D$5-$D$4,C135)</f>
        <v>1000</v>
      </c>
      <c r="E135" s="300">
        <f t="shared" si="24"/>
        <v>2000</v>
      </c>
      <c r="F135" s="305">
        <f t="shared" si="24"/>
        <v>116</v>
      </c>
      <c r="G135" s="299">
        <f t="shared" si="24"/>
        <v>0</v>
      </c>
      <c r="H135" s="300">
        <f t="shared" si="24"/>
        <v>0</v>
      </c>
      <c r="I135" s="305">
        <f t="shared" si="24"/>
        <v>0</v>
      </c>
      <c r="J135" s="305">
        <f t="shared" si="24"/>
        <v>0</v>
      </c>
      <c r="K135" s="306">
        <f t="shared" ref="K135:K197" si="27">IF($C135&lt;K$4,0,$C135-K$4)</f>
        <v>0</v>
      </c>
      <c r="L135" s="305">
        <f t="shared" ref="L135:L197" si="28">SUMPRODUCT($D$6:$K$6,D135:K135)</f>
        <v>8406</v>
      </c>
      <c r="M135" s="431">
        <f>Données!AE135</f>
        <v>0</v>
      </c>
      <c r="N135" s="433">
        <v>0</v>
      </c>
      <c r="O135" s="300">
        <f t="shared" si="25"/>
        <v>3116</v>
      </c>
      <c r="P135" s="305">
        <f t="shared" ref="P135:P197" si="29">IF(N135=0,L135,0)</f>
        <v>8406</v>
      </c>
      <c r="Q135" s="306">
        <f t="shared" si="20"/>
        <v>96556.678719686737</v>
      </c>
      <c r="R135" s="305">
        <f t="shared" si="21"/>
        <v>211550.53556151339</v>
      </c>
      <c r="S135" s="299">
        <f t="shared" si="22"/>
        <v>210889.28344652077</v>
      </c>
      <c r="T135" s="305">
        <f t="shared" si="23"/>
        <v>0</v>
      </c>
      <c r="U135" s="428">
        <f t="shared" ref="U135:U197" si="30">SUM(Q135:T135)</f>
        <v>518996.49772772088</v>
      </c>
    </row>
    <row r="136" spans="1:21" x14ac:dyDescent="0.25">
      <c r="A136" s="108">
        <f>Données!A136</f>
        <v>5634</v>
      </c>
      <c r="B136" s="109" t="str">
        <f>Données!B136</f>
        <v>Echichens</v>
      </c>
      <c r="C136" s="304">
        <f>Données!C136</f>
        <v>3241</v>
      </c>
      <c r="D136" s="300">
        <f t="shared" si="26"/>
        <v>1000</v>
      </c>
      <c r="E136" s="300">
        <f t="shared" si="24"/>
        <v>2000</v>
      </c>
      <c r="F136" s="305">
        <f t="shared" si="24"/>
        <v>241</v>
      </c>
      <c r="G136" s="299">
        <f t="shared" si="24"/>
        <v>0</v>
      </c>
      <c r="H136" s="300">
        <f t="shared" si="24"/>
        <v>0</v>
      </c>
      <c r="I136" s="305">
        <f t="shared" si="24"/>
        <v>0</v>
      </c>
      <c r="J136" s="305">
        <f t="shared" si="24"/>
        <v>0</v>
      </c>
      <c r="K136" s="306">
        <f t="shared" si="27"/>
        <v>0</v>
      </c>
      <c r="L136" s="305">
        <f t="shared" si="28"/>
        <v>8843.5</v>
      </c>
      <c r="M136" s="431">
        <f>Données!AE136</f>
        <v>0</v>
      </c>
      <c r="N136" s="433">
        <v>0</v>
      </c>
      <c r="O136" s="300">
        <f t="shared" si="25"/>
        <v>3241</v>
      </c>
      <c r="P136" s="305">
        <f t="shared" si="29"/>
        <v>8843.5</v>
      </c>
      <c r="Q136" s="306">
        <f t="shared" ref="Q136:Q199" si="31">$Q$6/$C$302*C136</f>
        <v>100430.10132557918</v>
      </c>
      <c r="R136" s="305">
        <f t="shared" ref="R136:R199" si="32">$R$6/$O$302*O136</f>
        <v>220036.99799578462</v>
      </c>
      <c r="S136" s="299">
        <f t="shared" ref="S136:S199" si="33">$S$6/$P$302*P136</f>
        <v>221865.26030922038</v>
      </c>
      <c r="T136" s="305">
        <f t="shared" si="23"/>
        <v>0</v>
      </c>
      <c r="U136" s="428">
        <f t="shared" si="30"/>
        <v>542332.35963058413</v>
      </c>
    </row>
    <row r="137" spans="1:21" x14ac:dyDescent="0.25">
      <c r="A137" s="108">
        <f>Données!A137</f>
        <v>5635</v>
      </c>
      <c r="B137" s="109" t="str">
        <f>Données!B137</f>
        <v>Ecublens</v>
      </c>
      <c r="C137" s="304">
        <f>Données!C137</f>
        <v>13758</v>
      </c>
      <c r="D137" s="300">
        <f t="shared" si="26"/>
        <v>1000</v>
      </c>
      <c r="E137" s="300">
        <f t="shared" si="24"/>
        <v>2000</v>
      </c>
      <c r="F137" s="305">
        <f t="shared" si="24"/>
        <v>2000</v>
      </c>
      <c r="G137" s="299">
        <f t="shared" si="24"/>
        <v>7000</v>
      </c>
      <c r="H137" s="300">
        <f t="shared" si="24"/>
        <v>1758</v>
      </c>
      <c r="I137" s="305">
        <f t="shared" si="24"/>
        <v>0</v>
      </c>
      <c r="J137" s="305">
        <f t="shared" si="24"/>
        <v>0</v>
      </c>
      <c r="K137" s="306">
        <f t="shared" si="27"/>
        <v>0</v>
      </c>
      <c r="L137" s="305">
        <f t="shared" si="28"/>
        <v>51790</v>
      </c>
      <c r="M137" s="431">
        <f>Données!AE137</f>
        <v>1</v>
      </c>
      <c r="N137" s="433">
        <v>1</v>
      </c>
      <c r="O137" s="300">
        <f t="shared" si="25"/>
        <v>0</v>
      </c>
      <c r="P137" s="305">
        <f t="shared" si="29"/>
        <v>0</v>
      </c>
      <c r="Q137" s="306">
        <f t="shared" si="31"/>
        <v>426324.38569494552</v>
      </c>
      <c r="R137" s="305">
        <f t="shared" si="32"/>
        <v>0</v>
      </c>
      <c r="S137" s="299">
        <f t="shared" si="33"/>
        <v>0</v>
      </c>
      <c r="T137" s="305">
        <f t="shared" ref="T137:T200" si="34">IF(M137&gt;N137,(-R137-S137)*(M137-N137),IF(M137&lt;N137,(C137*$R$305+L137*$S$305)*(N137-M137),IF(M137=N137,0,"Erreur")))</f>
        <v>0</v>
      </c>
      <c r="U137" s="428">
        <f t="shared" si="30"/>
        <v>426324.38569494552</v>
      </c>
    </row>
    <row r="138" spans="1:21" x14ac:dyDescent="0.25">
      <c r="A138" s="108">
        <f>Données!A138</f>
        <v>5636</v>
      </c>
      <c r="B138" s="109" t="str">
        <f>Données!B138</f>
        <v>Etoy</v>
      </c>
      <c r="C138" s="304">
        <f>Données!C138</f>
        <v>3013</v>
      </c>
      <c r="D138" s="300">
        <f t="shared" si="26"/>
        <v>1000</v>
      </c>
      <c r="E138" s="300">
        <f t="shared" si="24"/>
        <v>2000</v>
      </c>
      <c r="F138" s="305">
        <f t="shared" si="24"/>
        <v>13</v>
      </c>
      <c r="G138" s="299">
        <f t="shared" si="24"/>
        <v>0</v>
      </c>
      <c r="H138" s="300">
        <f t="shared" si="24"/>
        <v>0</v>
      </c>
      <c r="I138" s="305">
        <f t="shared" si="24"/>
        <v>0</v>
      </c>
      <c r="J138" s="305">
        <f t="shared" si="24"/>
        <v>0</v>
      </c>
      <c r="K138" s="306">
        <f t="shared" si="27"/>
        <v>0</v>
      </c>
      <c r="L138" s="305">
        <f t="shared" si="28"/>
        <v>8045.5</v>
      </c>
      <c r="M138" s="431">
        <f>Données!AE138</f>
        <v>0</v>
      </c>
      <c r="N138" s="433">
        <v>0</v>
      </c>
      <c r="O138" s="300">
        <f t="shared" si="25"/>
        <v>3013</v>
      </c>
      <c r="P138" s="305">
        <f t="shared" si="29"/>
        <v>8045.5</v>
      </c>
      <c r="Q138" s="306">
        <f t="shared" si="31"/>
        <v>93364.978492431372</v>
      </c>
      <c r="R138" s="305">
        <f t="shared" si="32"/>
        <v>204557.69051567389</v>
      </c>
      <c r="S138" s="299">
        <f t="shared" si="33"/>
        <v>201845.07851165632</v>
      </c>
      <c r="T138" s="305">
        <f t="shared" si="34"/>
        <v>0</v>
      </c>
      <c r="U138" s="428">
        <f t="shared" si="30"/>
        <v>499767.74751976161</v>
      </c>
    </row>
    <row r="139" spans="1:21" x14ac:dyDescent="0.25">
      <c r="A139" s="108">
        <f>Données!A139</f>
        <v>5637</v>
      </c>
      <c r="B139" s="109" t="str">
        <f>Données!B139</f>
        <v>Lavigny</v>
      </c>
      <c r="C139" s="304">
        <f>Données!C139</f>
        <v>1108</v>
      </c>
      <c r="D139" s="300">
        <f t="shared" si="26"/>
        <v>1000</v>
      </c>
      <c r="E139" s="300">
        <f t="shared" si="24"/>
        <v>108</v>
      </c>
      <c r="F139" s="305">
        <f t="shared" si="24"/>
        <v>0</v>
      </c>
      <c r="G139" s="299">
        <f t="shared" si="24"/>
        <v>0</v>
      </c>
      <c r="H139" s="300">
        <f t="shared" si="24"/>
        <v>0</v>
      </c>
      <c r="I139" s="305">
        <f t="shared" si="24"/>
        <v>0</v>
      </c>
      <c r="J139" s="305">
        <f t="shared" si="24"/>
        <v>0</v>
      </c>
      <c r="K139" s="306">
        <f t="shared" si="27"/>
        <v>0</v>
      </c>
      <c r="L139" s="305">
        <f t="shared" si="28"/>
        <v>2324</v>
      </c>
      <c r="M139" s="431">
        <f>Données!AE139</f>
        <v>0</v>
      </c>
      <c r="N139" s="433">
        <v>0</v>
      </c>
      <c r="O139" s="300">
        <f t="shared" si="25"/>
        <v>1108</v>
      </c>
      <c r="P139" s="305">
        <f t="shared" si="29"/>
        <v>2324</v>
      </c>
      <c r="Q139" s="306">
        <f t="shared" si="31"/>
        <v>34334.017978630589</v>
      </c>
      <c r="R139" s="305">
        <f t="shared" si="32"/>
        <v>75224.003017380252</v>
      </c>
      <c r="S139" s="299">
        <f t="shared" si="33"/>
        <v>58304.389094660277</v>
      </c>
      <c r="T139" s="305">
        <f t="shared" si="34"/>
        <v>0</v>
      </c>
      <c r="U139" s="428">
        <f t="shared" si="30"/>
        <v>167862.4100906711</v>
      </c>
    </row>
    <row r="140" spans="1:21" x14ac:dyDescent="0.25">
      <c r="A140" s="108">
        <f>Données!A140</f>
        <v>5638</v>
      </c>
      <c r="B140" s="109" t="str">
        <f>Données!B140</f>
        <v>Lonay</v>
      </c>
      <c r="C140" s="304">
        <f>Données!C140</f>
        <v>2719</v>
      </c>
      <c r="D140" s="300">
        <f t="shared" si="26"/>
        <v>1000</v>
      </c>
      <c r="E140" s="300">
        <f t="shared" si="24"/>
        <v>1719</v>
      </c>
      <c r="F140" s="305">
        <f t="shared" si="24"/>
        <v>0</v>
      </c>
      <c r="G140" s="299">
        <f t="shared" si="24"/>
        <v>0</v>
      </c>
      <c r="H140" s="300">
        <f t="shared" si="24"/>
        <v>0</v>
      </c>
      <c r="I140" s="305">
        <f t="shared" si="24"/>
        <v>0</v>
      </c>
      <c r="J140" s="305">
        <f t="shared" si="24"/>
        <v>0</v>
      </c>
      <c r="K140" s="306">
        <f t="shared" si="27"/>
        <v>0</v>
      </c>
      <c r="L140" s="305">
        <f t="shared" si="28"/>
        <v>7157</v>
      </c>
      <c r="M140" s="431">
        <f>Données!AE140</f>
        <v>0</v>
      </c>
      <c r="N140" s="433">
        <v>0</v>
      </c>
      <c r="O140" s="300">
        <f t="shared" si="25"/>
        <v>2719</v>
      </c>
      <c r="P140" s="305">
        <f t="shared" si="29"/>
        <v>7157</v>
      </c>
      <c r="Q140" s="306">
        <f t="shared" si="31"/>
        <v>84254.688523372359</v>
      </c>
      <c r="R140" s="305">
        <f t="shared" si="32"/>
        <v>184597.53087026795</v>
      </c>
      <c r="S140" s="299">
        <f t="shared" si="33"/>
        <v>179554.43750020809</v>
      </c>
      <c r="T140" s="305">
        <f t="shared" si="34"/>
        <v>0</v>
      </c>
      <c r="U140" s="428">
        <f t="shared" si="30"/>
        <v>448406.65689384838</v>
      </c>
    </row>
    <row r="141" spans="1:21" x14ac:dyDescent="0.25">
      <c r="A141" s="108">
        <f>Données!A141</f>
        <v>5639</v>
      </c>
      <c r="B141" s="109" t="str">
        <f>Données!B141</f>
        <v>Lully</v>
      </c>
      <c r="C141" s="304">
        <f>Données!C141</f>
        <v>824</v>
      </c>
      <c r="D141" s="300">
        <f t="shared" si="26"/>
        <v>824</v>
      </c>
      <c r="E141" s="300">
        <f t="shared" si="24"/>
        <v>0</v>
      </c>
      <c r="F141" s="305">
        <f t="shared" si="24"/>
        <v>0</v>
      </c>
      <c r="G141" s="299">
        <f t="shared" si="24"/>
        <v>0</v>
      </c>
      <c r="H141" s="300">
        <f t="shared" si="24"/>
        <v>0</v>
      </c>
      <c r="I141" s="305">
        <f t="shared" si="24"/>
        <v>0</v>
      </c>
      <c r="J141" s="305">
        <f t="shared" si="24"/>
        <v>0</v>
      </c>
      <c r="K141" s="306">
        <f t="shared" si="27"/>
        <v>0</v>
      </c>
      <c r="L141" s="305">
        <f t="shared" si="28"/>
        <v>1648</v>
      </c>
      <c r="M141" s="431">
        <f>Données!AE141</f>
        <v>0</v>
      </c>
      <c r="N141" s="433">
        <v>0</v>
      </c>
      <c r="O141" s="300">
        <f t="shared" si="25"/>
        <v>824</v>
      </c>
      <c r="P141" s="305">
        <f t="shared" si="29"/>
        <v>1648</v>
      </c>
      <c r="Q141" s="306">
        <f t="shared" si="31"/>
        <v>25533.601818042964</v>
      </c>
      <c r="R141" s="305">
        <f t="shared" si="32"/>
        <v>55942.760366715993</v>
      </c>
      <c r="S141" s="299">
        <f t="shared" si="33"/>
        <v>41344.936845094722</v>
      </c>
      <c r="T141" s="305">
        <f t="shared" si="34"/>
        <v>0</v>
      </c>
      <c r="U141" s="428">
        <f t="shared" si="30"/>
        <v>122821.29902985368</v>
      </c>
    </row>
    <row r="142" spans="1:21" x14ac:dyDescent="0.25">
      <c r="A142" s="108">
        <f>Données!A142</f>
        <v>5640</v>
      </c>
      <c r="B142" s="109" t="str">
        <f>Données!B142</f>
        <v>Lussy-sur-Morges</v>
      </c>
      <c r="C142" s="304">
        <f>Données!C142</f>
        <v>721</v>
      </c>
      <c r="D142" s="300">
        <f t="shared" si="26"/>
        <v>721</v>
      </c>
      <c r="E142" s="300">
        <f t="shared" si="24"/>
        <v>0</v>
      </c>
      <c r="F142" s="305">
        <f t="shared" si="24"/>
        <v>0</v>
      </c>
      <c r="G142" s="299">
        <f t="shared" si="24"/>
        <v>0</v>
      </c>
      <c r="H142" s="300">
        <f t="shared" si="24"/>
        <v>0</v>
      </c>
      <c r="I142" s="305">
        <f t="shared" si="24"/>
        <v>0</v>
      </c>
      <c r="J142" s="305">
        <f t="shared" si="24"/>
        <v>0</v>
      </c>
      <c r="K142" s="306">
        <f t="shared" si="27"/>
        <v>0</v>
      </c>
      <c r="L142" s="305">
        <f t="shared" si="28"/>
        <v>1442</v>
      </c>
      <c r="M142" s="431">
        <f>Données!AE142</f>
        <v>1</v>
      </c>
      <c r="N142" s="433">
        <v>1</v>
      </c>
      <c r="O142" s="300">
        <f t="shared" si="25"/>
        <v>0</v>
      </c>
      <c r="P142" s="305">
        <f t="shared" si="29"/>
        <v>0</v>
      </c>
      <c r="Q142" s="306">
        <f t="shared" si="31"/>
        <v>22341.901590787595</v>
      </c>
      <c r="R142" s="305">
        <f t="shared" si="32"/>
        <v>0</v>
      </c>
      <c r="S142" s="299">
        <f t="shared" si="33"/>
        <v>0</v>
      </c>
      <c r="T142" s="305">
        <f t="shared" si="34"/>
        <v>0</v>
      </c>
      <c r="U142" s="428">
        <f t="shared" si="30"/>
        <v>22341.901590787595</v>
      </c>
    </row>
    <row r="143" spans="1:21" x14ac:dyDescent="0.25">
      <c r="A143" s="108">
        <f>Données!A143</f>
        <v>5642</v>
      </c>
      <c r="B143" s="109" t="str">
        <f>Données!B143</f>
        <v>Morges</v>
      </c>
      <c r="C143" s="304">
        <f>Données!C143</f>
        <v>17813</v>
      </c>
      <c r="D143" s="300">
        <f t="shared" si="26"/>
        <v>1000</v>
      </c>
      <c r="E143" s="300">
        <f t="shared" si="24"/>
        <v>2000</v>
      </c>
      <c r="F143" s="305">
        <f t="shared" si="24"/>
        <v>2000</v>
      </c>
      <c r="G143" s="299">
        <f t="shared" si="24"/>
        <v>7000</v>
      </c>
      <c r="H143" s="300">
        <f t="shared" si="24"/>
        <v>3000</v>
      </c>
      <c r="I143" s="305">
        <f t="shared" si="24"/>
        <v>2813</v>
      </c>
      <c r="J143" s="305">
        <f t="shared" si="24"/>
        <v>0</v>
      </c>
      <c r="K143" s="306">
        <f t="shared" si="27"/>
        <v>0</v>
      </c>
      <c r="L143" s="305">
        <f t="shared" si="28"/>
        <v>74878</v>
      </c>
      <c r="M143" s="431">
        <f>Données!AE143</f>
        <v>1</v>
      </c>
      <c r="N143" s="433">
        <v>1</v>
      </c>
      <c r="O143" s="300">
        <f t="shared" si="25"/>
        <v>0</v>
      </c>
      <c r="P143" s="305">
        <f t="shared" si="29"/>
        <v>0</v>
      </c>
      <c r="Q143" s="306">
        <f t="shared" si="31"/>
        <v>551978.21503009624</v>
      </c>
      <c r="R143" s="305">
        <f t="shared" si="32"/>
        <v>0</v>
      </c>
      <c r="S143" s="299">
        <f t="shared" si="33"/>
        <v>0</v>
      </c>
      <c r="T143" s="305">
        <f t="shared" si="34"/>
        <v>0</v>
      </c>
      <c r="U143" s="428">
        <f t="shared" si="30"/>
        <v>551978.21503009624</v>
      </c>
    </row>
    <row r="144" spans="1:21" x14ac:dyDescent="0.25">
      <c r="A144" s="108">
        <f>Données!A144</f>
        <v>5643</v>
      </c>
      <c r="B144" s="109" t="str">
        <f>Données!B144</f>
        <v>Préverenges</v>
      </c>
      <c r="C144" s="304">
        <f>Données!C144</f>
        <v>5236</v>
      </c>
      <c r="D144" s="300">
        <f t="shared" si="26"/>
        <v>1000</v>
      </c>
      <c r="E144" s="300">
        <f t="shared" si="24"/>
        <v>2000</v>
      </c>
      <c r="F144" s="305">
        <f t="shared" si="24"/>
        <v>2000</v>
      </c>
      <c r="G144" s="299">
        <f t="shared" si="24"/>
        <v>236</v>
      </c>
      <c r="H144" s="300">
        <f t="shared" si="24"/>
        <v>0</v>
      </c>
      <c r="I144" s="305">
        <f t="shared" si="24"/>
        <v>0</v>
      </c>
      <c r="J144" s="305">
        <f t="shared" si="24"/>
        <v>0</v>
      </c>
      <c r="K144" s="306">
        <f t="shared" si="27"/>
        <v>0</v>
      </c>
      <c r="L144" s="305">
        <f t="shared" si="28"/>
        <v>15944</v>
      </c>
      <c r="M144" s="431">
        <f>Données!AE144</f>
        <v>1</v>
      </c>
      <c r="N144" s="433">
        <v>1</v>
      </c>
      <c r="O144" s="300">
        <f t="shared" si="25"/>
        <v>0</v>
      </c>
      <c r="P144" s="305">
        <f t="shared" si="29"/>
        <v>0</v>
      </c>
      <c r="Q144" s="306">
        <f t="shared" si="31"/>
        <v>162249.92611562251</v>
      </c>
      <c r="R144" s="305">
        <f t="shared" si="32"/>
        <v>0</v>
      </c>
      <c r="S144" s="299">
        <f t="shared" si="33"/>
        <v>0</v>
      </c>
      <c r="T144" s="305">
        <f t="shared" si="34"/>
        <v>0</v>
      </c>
      <c r="U144" s="428">
        <f t="shared" si="30"/>
        <v>162249.92611562251</v>
      </c>
    </row>
    <row r="145" spans="1:21" x14ac:dyDescent="0.25">
      <c r="A145" s="108">
        <f>Données!A145</f>
        <v>5645</v>
      </c>
      <c r="B145" s="109" t="str">
        <f>Données!B145</f>
        <v>Romanel-sur-Morges</v>
      </c>
      <c r="C145" s="304">
        <f>Données!C145</f>
        <v>462</v>
      </c>
      <c r="D145" s="300">
        <f t="shared" si="26"/>
        <v>462</v>
      </c>
      <c r="E145" s="300">
        <f t="shared" si="24"/>
        <v>0</v>
      </c>
      <c r="F145" s="305">
        <f t="shared" si="24"/>
        <v>0</v>
      </c>
      <c r="G145" s="299">
        <f t="shared" si="24"/>
        <v>0</v>
      </c>
      <c r="H145" s="300">
        <f t="shared" si="24"/>
        <v>0</v>
      </c>
      <c r="I145" s="305">
        <f t="shared" si="24"/>
        <v>0</v>
      </c>
      <c r="J145" s="305">
        <f t="shared" si="24"/>
        <v>0</v>
      </c>
      <c r="K145" s="306">
        <f t="shared" si="27"/>
        <v>0</v>
      </c>
      <c r="L145" s="305">
        <f t="shared" si="28"/>
        <v>924</v>
      </c>
      <c r="M145" s="431">
        <f>Données!AE145</f>
        <v>0</v>
      </c>
      <c r="N145" s="433">
        <v>0</v>
      </c>
      <c r="O145" s="300">
        <f t="shared" si="25"/>
        <v>462</v>
      </c>
      <c r="P145" s="305">
        <f t="shared" si="29"/>
        <v>924</v>
      </c>
      <c r="Q145" s="306">
        <f t="shared" si="31"/>
        <v>14316.169951378459</v>
      </c>
      <c r="R145" s="305">
        <f t="shared" si="32"/>
        <v>31365.965157066494</v>
      </c>
      <c r="S145" s="299">
        <f t="shared" si="33"/>
        <v>23181.263134021556</v>
      </c>
      <c r="T145" s="305">
        <f t="shared" si="34"/>
        <v>0</v>
      </c>
      <c r="U145" s="428">
        <f t="shared" si="30"/>
        <v>68863.398242466516</v>
      </c>
    </row>
    <row r="146" spans="1:21" x14ac:dyDescent="0.25">
      <c r="A146" s="108">
        <f>Données!A146</f>
        <v>5646</v>
      </c>
      <c r="B146" s="109" t="str">
        <f>Données!B146</f>
        <v>Saint-Prex</v>
      </c>
      <c r="C146" s="304">
        <f>Données!C146</f>
        <v>5922</v>
      </c>
      <c r="D146" s="300">
        <f t="shared" si="26"/>
        <v>1000</v>
      </c>
      <c r="E146" s="300">
        <f t="shared" si="24"/>
        <v>2000</v>
      </c>
      <c r="F146" s="305">
        <f t="shared" si="24"/>
        <v>2000</v>
      </c>
      <c r="G146" s="299">
        <f t="shared" si="24"/>
        <v>922</v>
      </c>
      <c r="H146" s="300">
        <f t="shared" si="24"/>
        <v>0</v>
      </c>
      <c r="I146" s="305">
        <f t="shared" si="24"/>
        <v>0</v>
      </c>
      <c r="J146" s="305">
        <f t="shared" si="24"/>
        <v>0</v>
      </c>
      <c r="K146" s="306">
        <f t="shared" si="27"/>
        <v>0</v>
      </c>
      <c r="L146" s="305">
        <f t="shared" si="28"/>
        <v>18688</v>
      </c>
      <c r="M146" s="431">
        <f>Données!AE146</f>
        <v>1</v>
      </c>
      <c r="N146" s="433">
        <v>1</v>
      </c>
      <c r="O146" s="300">
        <f t="shared" si="25"/>
        <v>0</v>
      </c>
      <c r="P146" s="305">
        <f t="shared" si="29"/>
        <v>0</v>
      </c>
      <c r="Q146" s="306">
        <f t="shared" si="31"/>
        <v>183507.26937676023</v>
      </c>
      <c r="R146" s="305">
        <f t="shared" si="32"/>
        <v>0</v>
      </c>
      <c r="S146" s="299">
        <f t="shared" si="33"/>
        <v>0</v>
      </c>
      <c r="T146" s="305">
        <f t="shared" si="34"/>
        <v>0</v>
      </c>
      <c r="U146" s="428">
        <f t="shared" si="30"/>
        <v>183507.26937676023</v>
      </c>
    </row>
    <row r="147" spans="1:21" x14ac:dyDescent="0.25">
      <c r="A147" s="108">
        <f>Données!A147</f>
        <v>5648</v>
      </c>
      <c r="B147" s="109" t="str">
        <f>Données!B147</f>
        <v>Saint-Sulpice</v>
      </c>
      <c r="C147" s="304">
        <f>Données!C147</f>
        <v>5193</v>
      </c>
      <c r="D147" s="300">
        <f t="shared" si="26"/>
        <v>1000</v>
      </c>
      <c r="E147" s="300">
        <f t="shared" si="24"/>
        <v>2000</v>
      </c>
      <c r="F147" s="305">
        <f t="shared" si="24"/>
        <v>2000</v>
      </c>
      <c r="G147" s="299">
        <f t="shared" si="24"/>
        <v>193</v>
      </c>
      <c r="H147" s="300">
        <f t="shared" si="24"/>
        <v>0</v>
      </c>
      <c r="I147" s="305">
        <f t="shared" si="24"/>
        <v>0</v>
      </c>
      <c r="J147" s="305">
        <f t="shared" si="24"/>
        <v>0</v>
      </c>
      <c r="K147" s="306">
        <f t="shared" si="27"/>
        <v>0</v>
      </c>
      <c r="L147" s="305">
        <f t="shared" si="28"/>
        <v>15772</v>
      </c>
      <c r="M147" s="431">
        <f>Données!AE147</f>
        <v>1</v>
      </c>
      <c r="N147" s="433">
        <v>1</v>
      </c>
      <c r="O147" s="300">
        <f t="shared" si="25"/>
        <v>0</v>
      </c>
      <c r="P147" s="305">
        <f t="shared" si="29"/>
        <v>0</v>
      </c>
      <c r="Q147" s="306">
        <f t="shared" si="31"/>
        <v>160917.46873919552</v>
      </c>
      <c r="R147" s="305">
        <f t="shared" si="32"/>
        <v>0</v>
      </c>
      <c r="S147" s="299">
        <f t="shared" si="33"/>
        <v>0</v>
      </c>
      <c r="T147" s="305">
        <f t="shared" si="34"/>
        <v>0</v>
      </c>
      <c r="U147" s="428">
        <f t="shared" si="30"/>
        <v>160917.46873919552</v>
      </c>
    </row>
    <row r="148" spans="1:21" x14ac:dyDescent="0.25">
      <c r="A148" s="108">
        <f>Données!A148</f>
        <v>5649</v>
      </c>
      <c r="B148" s="109" t="str">
        <f>Données!B148</f>
        <v>Tolochenaz</v>
      </c>
      <c r="C148" s="304">
        <f>Données!C148</f>
        <v>1928</v>
      </c>
      <c r="D148" s="300">
        <f t="shared" si="26"/>
        <v>1000</v>
      </c>
      <c r="E148" s="300">
        <f t="shared" si="24"/>
        <v>928</v>
      </c>
      <c r="F148" s="305">
        <f t="shared" si="24"/>
        <v>0</v>
      </c>
      <c r="G148" s="299">
        <f t="shared" si="24"/>
        <v>0</v>
      </c>
      <c r="H148" s="300">
        <f t="shared" si="24"/>
        <v>0</v>
      </c>
      <c r="I148" s="305">
        <f t="shared" si="24"/>
        <v>0</v>
      </c>
      <c r="J148" s="305">
        <f t="shared" si="24"/>
        <v>0</v>
      </c>
      <c r="K148" s="306">
        <f t="shared" si="27"/>
        <v>0</v>
      </c>
      <c r="L148" s="305">
        <f t="shared" si="28"/>
        <v>4784</v>
      </c>
      <c r="M148" s="431">
        <f>Données!AE148</f>
        <v>1</v>
      </c>
      <c r="N148" s="433">
        <v>1</v>
      </c>
      <c r="O148" s="300">
        <f t="shared" si="25"/>
        <v>0</v>
      </c>
      <c r="P148" s="305">
        <f t="shared" si="29"/>
        <v>0</v>
      </c>
      <c r="Q148" s="306">
        <f t="shared" si="31"/>
        <v>59743.670273284995</v>
      </c>
      <c r="R148" s="305">
        <f t="shared" si="32"/>
        <v>0</v>
      </c>
      <c r="S148" s="299">
        <f t="shared" si="33"/>
        <v>0</v>
      </c>
      <c r="T148" s="305">
        <f t="shared" si="34"/>
        <v>0</v>
      </c>
      <c r="U148" s="428">
        <f t="shared" si="30"/>
        <v>59743.670273284995</v>
      </c>
    </row>
    <row r="149" spans="1:21" x14ac:dyDescent="0.25">
      <c r="A149" s="108">
        <f>Données!A149</f>
        <v>5650</v>
      </c>
      <c r="B149" s="109" t="str">
        <f>Données!B149</f>
        <v>Vaux-sur-Morges</v>
      </c>
      <c r="C149" s="304">
        <f>Données!C149</f>
        <v>185</v>
      </c>
      <c r="D149" s="300">
        <f t="shared" si="26"/>
        <v>185</v>
      </c>
      <c r="E149" s="300">
        <f t="shared" si="24"/>
        <v>0</v>
      </c>
      <c r="F149" s="305">
        <f t="shared" si="24"/>
        <v>0</v>
      </c>
      <c r="G149" s="299">
        <f t="shared" si="24"/>
        <v>0</v>
      </c>
      <c r="H149" s="300">
        <f t="shared" ref="E149:J190" si="35">IF($C149&lt;H$4,0,IF($C149&gt;H$5,H$5-H$4,$C149-H$4))</f>
        <v>0</v>
      </c>
      <c r="I149" s="305">
        <f t="shared" si="35"/>
        <v>0</v>
      </c>
      <c r="J149" s="305">
        <f t="shared" si="35"/>
        <v>0</v>
      </c>
      <c r="K149" s="306">
        <f t="shared" si="27"/>
        <v>0</v>
      </c>
      <c r="L149" s="305">
        <f t="shared" si="28"/>
        <v>370</v>
      </c>
      <c r="M149" s="431">
        <f>Données!AE149</f>
        <v>0</v>
      </c>
      <c r="N149" s="433">
        <v>0</v>
      </c>
      <c r="O149" s="300">
        <f t="shared" si="25"/>
        <v>185</v>
      </c>
      <c r="P149" s="305">
        <f t="shared" si="29"/>
        <v>370</v>
      </c>
      <c r="Q149" s="306">
        <f t="shared" si="31"/>
        <v>5732.6654567208107</v>
      </c>
      <c r="R149" s="305">
        <f t="shared" si="32"/>
        <v>12559.964402721431</v>
      </c>
      <c r="S149" s="299">
        <f t="shared" si="33"/>
        <v>9282.5404324545198</v>
      </c>
      <c r="T149" s="305">
        <f t="shared" si="34"/>
        <v>0</v>
      </c>
      <c r="U149" s="428">
        <f t="shared" si="30"/>
        <v>27575.17029189676</v>
      </c>
    </row>
    <row r="150" spans="1:21" x14ac:dyDescent="0.25">
      <c r="A150" s="108">
        <f>Données!A150</f>
        <v>5651</v>
      </c>
      <c r="B150" s="109" t="str">
        <f>Données!B150</f>
        <v>Villars-Sainte-Croix</v>
      </c>
      <c r="C150" s="304">
        <f>Données!C150</f>
        <v>943</v>
      </c>
      <c r="D150" s="300">
        <f t="shared" si="26"/>
        <v>943</v>
      </c>
      <c r="E150" s="300">
        <f t="shared" si="35"/>
        <v>0</v>
      </c>
      <c r="F150" s="305">
        <f t="shared" si="35"/>
        <v>0</v>
      </c>
      <c r="G150" s="299">
        <f t="shared" si="35"/>
        <v>0</v>
      </c>
      <c r="H150" s="300">
        <f t="shared" si="35"/>
        <v>0</v>
      </c>
      <c r="I150" s="305">
        <f t="shared" si="35"/>
        <v>0</v>
      </c>
      <c r="J150" s="305">
        <f t="shared" si="35"/>
        <v>0</v>
      </c>
      <c r="K150" s="306">
        <f t="shared" si="27"/>
        <v>0</v>
      </c>
      <c r="L150" s="305">
        <f t="shared" si="28"/>
        <v>1886</v>
      </c>
      <c r="M150" s="431">
        <f>Données!AE150</f>
        <v>1</v>
      </c>
      <c r="N150" s="433">
        <v>1</v>
      </c>
      <c r="O150" s="300">
        <f t="shared" si="25"/>
        <v>0</v>
      </c>
      <c r="P150" s="305">
        <f t="shared" si="29"/>
        <v>0</v>
      </c>
      <c r="Q150" s="306">
        <f t="shared" si="31"/>
        <v>29221.100138852566</v>
      </c>
      <c r="R150" s="305">
        <f t="shared" si="32"/>
        <v>0</v>
      </c>
      <c r="S150" s="299">
        <f t="shared" si="33"/>
        <v>0</v>
      </c>
      <c r="T150" s="305">
        <f t="shared" si="34"/>
        <v>0</v>
      </c>
      <c r="U150" s="428">
        <f t="shared" si="30"/>
        <v>29221.100138852566</v>
      </c>
    </row>
    <row r="151" spans="1:21" x14ac:dyDescent="0.25">
      <c r="A151" s="108">
        <f>Données!A151</f>
        <v>5652</v>
      </c>
      <c r="B151" s="109" t="str">
        <f>Données!B151</f>
        <v>Villars-sous-Yens</v>
      </c>
      <c r="C151" s="304">
        <f>Données!C151</f>
        <v>603</v>
      </c>
      <c r="D151" s="300">
        <f t="shared" si="26"/>
        <v>603</v>
      </c>
      <c r="E151" s="300">
        <f t="shared" si="35"/>
        <v>0</v>
      </c>
      <c r="F151" s="305">
        <f t="shared" si="35"/>
        <v>0</v>
      </c>
      <c r="G151" s="299">
        <f t="shared" si="35"/>
        <v>0</v>
      </c>
      <c r="H151" s="300">
        <f t="shared" si="35"/>
        <v>0</v>
      </c>
      <c r="I151" s="305">
        <f t="shared" si="35"/>
        <v>0</v>
      </c>
      <c r="J151" s="305">
        <f t="shared" si="35"/>
        <v>0</v>
      </c>
      <c r="K151" s="306">
        <f t="shared" si="27"/>
        <v>0</v>
      </c>
      <c r="L151" s="305">
        <f t="shared" si="28"/>
        <v>1206</v>
      </c>
      <c r="M151" s="431">
        <f>Données!AE151</f>
        <v>0</v>
      </c>
      <c r="N151" s="433">
        <v>0</v>
      </c>
      <c r="O151" s="300">
        <f t="shared" si="25"/>
        <v>603</v>
      </c>
      <c r="P151" s="305">
        <f t="shared" si="29"/>
        <v>1206</v>
      </c>
      <c r="Q151" s="306">
        <f t="shared" si="31"/>
        <v>18685.390650825131</v>
      </c>
      <c r="R151" s="305">
        <f t="shared" si="32"/>
        <v>40938.694782924445</v>
      </c>
      <c r="S151" s="299">
        <f t="shared" si="33"/>
        <v>30256.064220378783</v>
      </c>
      <c r="T151" s="305">
        <f t="shared" si="34"/>
        <v>0</v>
      </c>
      <c r="U151" s="428">
        <f t="shared" si="30"/>
        <v>89880.149654128356</v>
      </c>
    </row>
    <row r="152" spans="1:21" x14ac:dyDescent="0.25">
      <c r="A152" s="108">
        <f>Données!A152</f>
        <v>5653</v>
      </c>
      <c r="B152" s="109" t="str">
        <f>Données!B152</f>
        <v>Vufflens-le-Château</v>
      </c>
      <c r="C152" s="304">
        <f>Données!C152</f>
        <v>887</v>
      </c>
      <c r="D152" s="300">
        <f t="shared" si="26"/>
        <v>887</v>
      </c>
      <c r="E152" s="300">
        <f t="shared" si="35"/>
        <v>0</v>
      </c>
      <c r="F152" s="305">
        <f t="shared" si="35"/>
        <v>0</v>
      </c>
      <c r="G152" s="299">
        <f t="shared" si="35"/>
        <v>0</v>
      </c>
      <c r="H152" s="300">
        <f t="shared" si="35"/>
        <v>0</v>
      </c>
      <c r="I152" s="305">
        <f t="shared" si="35"/>
        <v>0</v>
      </c>
      <c r="J152" s="305">
        <f t="shared" si="35"/>
        <v>0</v>
      </c>
      <c r="K152" s="306">
        <f t="shared" si="27"/>
        <v>0</v>
      </c>
      <c r="L152" s="305">
        <f t="shared" si="28"/>
        <v>1774</v>
      </c>
      <c r="M152" s="431">
        <f>Données!AE152</f>
        <v>0</v>
      </c>
      <c r="N152" s="433">
        <v>0</v>
      </c>
      <c r="O152" s="300">
        <f t="shared" si="25"/>
        <v>887</v>
      </c>
      <c r="P152" s="305">
        <f t="shared" si="29"/>
        <v>1774</v>
      </c>
      <c r="Q152" s="306">
        <f t="shared" si="31"/>
        <v>27485.806811412753</v>
      </c>
      <c r="R152" s="305">
        <f t="shared" si="32"/>
        <v>60219.937433588697</v>
      </c>
      <c r="S152" s="299">
        <f t="shared" si="33"/>
        <v>44506.018181552208</v>
      </c>
      <c r="T152" s="305">
        <f t="shared" si="34"/>
        <v>0</v>
      </c>
      <c r="U152" s="428">
        <f t="shared" si="30"/>
        <v>132211.76242655364</v>
      </c>
    </row>
    <row r="153" spans="1:21" x14ac:dyDescent="0.25">
      <c r="A153" s="108">
        <f>Données!A153</f>
        <v>5654</v>
      </c>
      <c r="B153" s="109" t="str">
        <f>Données!B153</f>
        <v>Vullierens</v>
      </c>
      <c r="C153" s="304">
        <f>Données!C153</f>
        <v>577</v>
      </c>
      <c r="D153" s="300">
        <f t="shared" si="26"/>
        <v>577</v>
      </c>
      <c r="E153" s="300">
        <f t="shared" si="35"/>
        <v>0</v>
      </c>
      <c r="F153" s="305">
        <f t="shared" si="35"/>
        <v>0</v>
      </c>
      <c r="G153" s="299">
        <f t="shared" si="35"/>
        <v>0</v>
      </c>
      <c r="H153" s="300">
        <f t="shared" si="35"/>
        <v>0</v>
      </c>
      <c r="I153" s="305">
        <f t="shared" si="35"/>
        <v>0</v>
      </c>
      <c r="J153" s="305">
        <f t="shared" si="35"/>
        <v>0</v>
      </c>
      <c r="K153" s="306">
        <f t="shared" si="27"/>
        <v>0</v>
      </c>
      <c r="L153" s="305">
        <f t="shared" si="28"/>
        <v>1154</v>
      </c>
      <c r="M153" s="431">
        <f>Données!AE153</f>
        <v>0</v>
      </c>
      <c r="N153" s="433">
        <v>0</v>
      </c>
      <c r="O153" s="300">
        <f t="shared" si="25"/>
        <v>577</v>
      </c>
      <c r="P153" s="305">
        <f t="shared" si="29"/>
        <v>1154</v>
      </c>
      <c r="Q153" s="306">
        <f t="shared" si="31"/>
        <v>17879.718748799503</v>
      </c>
      <c r="R153" s="305">
        <f t="shared" si="32"/>
        <v>39173.510596596032</v>
      </c>
      <c r="S153" s="299">
        <f t="shared" si="33"/>
        <v>28951.490970412204</v>
      </c>
      <c r="T153" s="305">
        <f t="shared" si="34"/>
        <v>0</v>
      </c>
      <c r="U153" s="428">
        <f t="shared" si="30"/>
        <v>86004.720315807732</v>
      </c>
    </row>
    <row r="154" spans="1:21" x14ac:dyDescent="0.25">
      <c r="A154" s="108">
        <f>Données!A154</f>
        <v>5655</v>
      </c>
      <c r="B154" s="109" t="str">
        <f>Données!B154</f>
        <v>Yens</v>
      </c>
      <c r="C154" s="304">
        <f>Données!C154</f>
        <v>1481</v>
      </c>
      <c r="D154" s="300">
        <f t="shared" si="26"/>
        <v>1000</v>
      </c>
      <c r="E154" s="300">
        <f t="shared" si="35"/>
        <v>481</v>
      </c>
      <c r="F154" s="305">
        <f t="shared" si="35"/>
        <v>0</v>
      </c>
      <c r="G154" s="299">
        <f t="shared" si="35"/>
        <v>0</v>
      </c>
      <c r="H154" s="300">
        <f t="shared" si="35"/>
        <v>0</v>
      </c>
      <c r="I154" s="305">
        <f t="shared" si="35"/>
        <v>0</v>
      </c>
      <c r="J154" s="305">
        <f t="shared" si="35"/>
        <v>0</v>
      </c>
      <c r="K154" s="306">
        <f t="shared" si="27"/>
        <v>0</v>
      </c>
      <c r="L154" s="305">
        <f t="shared" si="28"/>
        <v>3443</v>
      </c>
      <c r="M154" s="431">
        <f>Données!AE154</f>
        <v>0</v>
      </c>
      <c r="N154" s="433">
        <v>0</v>
      </c>
      <c r="O154" s="300">
        <f t="shared" si="25"/>
        <v>1481</v>
      </c>
      <c r="P154" s="305">
        <f t="shared" si="29"/>
        <v>3443</v>
      </c>
      <c r="Q154" s="306">
        <f t="shared" si="31"/>
        <v>45892.311034613631</v>
      </c>
      <c r="R154" s="305">
        <f t="shared" si="32"/>
        <v>100547.60692124562</v>
      </c>
      <c r="S154" s="299">
        <f t="shared" si="33"/>
        <v>86377.801916056516</v>
      </c>
      <c r="T154" s="305">
        <f t="shared" si="34"/>
        <v>0</v>
      </c>
      <c r="U154" s="428">
        <f t="shared" si="30"/>
        <v>232817.71987191576</v>
      </c>
    </row>
    <row r="155" spans="1:21" x14ac:dyDescent="0.25">
      <c r="A155" s="108">
        <f>Données!A155</f>
        <v>5656</v>
      </c>
      <c r="B155" s="109" t="str">
        <f>Données!B155</f>
        <v>Hautemorges</v>
      </c>
      <c r="C155" s="304">
        <f>Données!C155</f>
        <v>4426</v>
      </c>
      <c r="D155" s="300">
        <f t="shared" si="26"/>
        <v>1000</v>
      </c>
      <c r="E155" s="300">
        <f t="shared" si="35"/>
        <v>2000</v>
      </c>
      <c r="F155" s="305">
        <f t="shared" si="35"/>
        <v>1426</v>
      </c>
      <c r="G155" s="299">
        <f t="shared" si="35"/>
        <v>0</v>
      </c>
      <c r="H155" s="300">
        <f t="shared" si="35"/>
        <v>0</v>
      </c>
      <c r="I155" s="305">
        <f t="shared" si="35"/>
        <v>0</v>
      </c>
      <c r="J155" s="305">
        <f t="shared" si="35"/>
        <v>0</v>
      </c>
      <c r="K155" s="306">
        <f t="shared" si="27"/>
        <v>0</v>
      </c>
      <c r="L155" s="305">
        <f t="shared" si="28"/>
        <v>12991</v>
      </c>
      <c r="M155" s="431">
        <f>Données!AE155</f>
        <v>0</v>
      </c>
      <c r="N155" s="433">
        <v>0</v>
      </c>
      <c r="O155" s="300">
        <f t="shared" si="25"/>
        <v>4426</v>
      </c>
      <c r="P155" s="305">
        <f t="shared" si="29"/>
        <v>12991</v>
      </c>
      <c r="Q155" s="306">
        <f t="shared" si="31"/>
        <v>137150.14762943951</v>
      </c>
      <c r="R155" s="305">
        <f t="shared" si="32"/>
        <v>300488.66187267599</v>
      </c>
      <c r="S155" s="299">
        <f t="shared" si="33"/>
        <v>325917.52096761257</v>
      </c>
      <c r="T155" s="305">
        <f t="shared" si="34"/>
        <v>0</v>
      </c>
      <c r="U155" s="428">
        <f t="shared" si="30"/>
        <v>763556.33046972798</v>
      </c>
    </row>
    <row r="156" spans="1:21" x14ac:dyDescent="0.25">
      <c r="A156" s="108">
        <f>Données!A156</f>
        <v>5661</v>
      </c>
      <c r="B156" s="109" t="str">
        <f>Données!B156</f>
        <v>Boulens</v>
      </c>
      <c r="C156" s="304">
        <f>Données!C156</f>
        <v>371</v>
      </c>
      <c r="D156" s="300">
        <f t="shared" si="26"/>
        <v>371</v>
      </c>
      <c r="E156" s="300">
        <f t="shared" si="35"/>
        <v>0</v>
      </c>
      <c r="F156" s="305">
        <f t="shared" si="35"/>
        <v>0</v>
      </c>
      <c r="G156" s="299">
        <f t="shared" si="35"/>
        <v>0</v>
      </c>
      <c r="H156" s="300">
        <f t="shared" si="35"/>
        <v>0</v>
      </c>
      <c r="I156" s="305">
        <f t="shared" si="35"/>
        <v>0</v>
      </c>
      <c r="J156" s="305">
        <f t="shared" si="35"/>
        <v>0</v>
      </c>
      <c r="K156" s="306">
        <f t="shared" si="27"/>
        <v>0</v>
      </c>
      <c r="L156" s="305">
        <f t="shared" si="28"/>
        <v>742</v>
      </c>
      <c r="M156" s="431">
        <f>Données!AE156</f>
        <v>0</v>
      </c>
      <c r="N156" s="433">
        <v>0</v>
      </c>
      <c r="O156" s="300">
        <f t="shared" si="25"/>
        <v>371</v>
      </c>
      <c r="P156" s="305">
        <f t="shared" si="29"/>
        <v>742</v>
      </c>
      <c r="Q156" s="306">
        <f t="shared" si="31"/>
        <v>11496.318294288762</v>
      </c>
      <c r="R156" s="305">
        <f t="shared" si="32"/>
        <v>25187.820504917032</v>
      </c>
      <c r="S156" s="299">
        <f t="shared" si="33"/>
        <v>18615.256759138523</v>
      </c>
      <c r="T156" s="305">
        <f t="shared" si="34"/>
        <v>0</v>
      </c>
      <c r="U156" s="428">
        <f t="shared" si="30"/>
        <v>55299.395558344317</v>
      </c>
    </row>
    <row r="157" spans="1:21" x14ac:dyDescent="0.25">
      <c r="A157" s="108">
        <f>Données!A157</f>
        <v>5663</v>
      </c>
      <c r="B157" s="109" t="str">
        <f>Données!B157</f>
        <v>Bussy-sur-Moudon</v>
      </c>
      <c r="C157" s="304">
        <f>Données!C157</f>
        <v>267</v>
      </c>
      <c r="D157" s="300">
        <f t="shared" si="26"/>
        <v>267</v>
      </c>
      <c r="E157" s="300">
        <f t="shared" si="35"/>
        <v>0</v>
      </c>
      <c r="F157" s="305">
        <f t="shared" si="35"/>
        <v>0</v>
      </c>
      <c r="G157" s="299">
        <f t="shared" si="35"/>
        <v>0</v>
      </c>
      <c r="H157" s="300">
        <f t="shared" si="35"/>
        <v>0</v>
      </c>
      <c r="I157" s="305">
        <f t="shared" si="35"/>
        <v>0</v>
      </c>
      <c r="J157" s="305">
        <f t="shared" si="35"/>
        <v>0</v>
      </c>
      <c r="K157" s="306">
        <f t="shared" si="27"/>
        <v>0</v>
      </c>
      <c r="L157" s="305">
        <f t="shared" si="28"/>
        <v>534</v>
      </c>
      <c r="M157" s="431">
        <f>Données!AE157</f>
        <v>0</v>
      </c>
      <c r="N157" s="433">
        <v>0</v>
      </c>
      <c r="O157" s="300">
        <f t="shared" si="25"/>
        <v>267</v>
      </c>
      <c r="P157" s="305">
        <f t="shared" si="29"/>
        <v>534</v>
      </c>
      <c r="Q157" s="306">
        <f t="shared" si="31"/>
        <v>8273.6306861862522</v>
      </c>
      <c r="R157" s="305">
        <f t="shared" si="32"/>
        <v>18127.083759603363</v>
      </c>
      <c r="S157" s="299">
        <f t="shared" si="33"/>
        <v>13396.963759272197</v>
      </c>
      <c r="T157" s="305">
        <f t="shared" si="34"/>
        <v>0</v>
      </c>
      <c r="U157" s="428">
        <f t="shared" si="30"/>
        <v>39797.678205061813</v>
      </c>
    </row>
    <row r="158" spans="1:21" x14ac:dyDescent="0.25">
      <c r="A158" s="108">
        <f>Données!A158</f>
        <v>5665</v>
      </c>
      <c r="B158" s="109" t="str">
        <f>Données!B158</f>
        <v>Chavannes-sur-Moudon</v>
      </c>
      <c r="C158" s="304">
        <f>Données!C158</f>
        <v>232</v>
      </c>
      <c r="D158" s="300">
        <f t="shared" si="26"/>
        <v>232</v>
      </c>
      <c r="E158" s="300">
        <f t="shared" si="35"/>
        <v>0</v>
      </c>
      <c r="F158" s="305">
        <f t="shared" si="35"/>
        <v>0</v>
      </c>
      <c r="G158" s="299">
        <f t="shared" si="35"/>
        <v>0</v>
      </c>
      <c r="H158" s="300">
        <f t="shared" si="35"/>
        <v>0</v>
      </c>
      <c r="I158" s="305">
        <f t="shared" si="35"/>
        <v>0</v>
      </c>
      <c r="J158" s="305">
        <f t="shared" si="35"/>
        <v>0</v>
      </c>
      <c r="K158" s="306">
        <f t="shared" si="27"/>
        <v>0</v>
      </c>
      <c r="L158" s="305">
        <f t="shared" si="28"/>
        <v>464</v>
      </c>
      <c r="M158" s="431">
        <f>Données!AE158</f>
        <v>0</v>
      </c>
      <c r="N158" s="433">
        <v>0</v>
      </c>
      <c r="O158" s="300">
        <f t="shared" si="25"/>
        <v>232</v>
      </c>
      <c r="P158" s="305">
        <f t="shared" si="29"/>
        <v>464</v>
      </c>
      <c r="Q158" s="306">
        <f t="shared" si="31"/>
        <v>7189.0723565363687</v>
      </c>
      <c r="R158" s="305">
        <f t="shared" si="32"/>
        <v>15750.874278007415</v>
      </c>
      <c r="S158" s="299">
        <f t="shared" si="33"/>
        <v>11640.807461240262</v>
      </c>
      <c r="T158" s="305">
        <f t="shared" si="34"/>
        <v>0</v>
      </c>
      <c r="U158" s="428">
        <f t="shared" si="30"/>
        <v>34580.754095784047</v>
      </c>
    </row>
    <row r="159" spans="1:21" x14ac:dyDescent="0.25">
      <c r="A159" s="108">
        <f>Données!A159</f>
        <v>5671</v>
      </c>
      <c r="B159" s="109" t="str">
        <f>Données!B159</f>
        <v>Dompierre</v>
      </c>
      <c r="C159" s="304">
        <f>Données!C159</f>
        <v>242</v>
      </c>
      <c r="D159" s="300">
        <f t="shared" si="26"/>
        <v>242</v>
      </c>
      <c r="E159" s="300">
        <f t="shared" si="35"/>
        <v>0</v>
      </c>
      <c r="F159" s="305">
        <f t="shared" si="35"/>
        <v>0</v>
      </c>
      <c r="G159" s="299">
        <f t="shared" si="35"/>
        <v>0</v>
      </c>
      <c r="H159" s="300">
        <f t="shared" si="35"/>
        <v>0</v>
      </c>
      <c r="I159" s="305">
        <f t="shared" si="35"/>
        <v>0</v>
      </c>
      <c r="J159" s="305">
        <f t="shared" si="35"/>
        <v>0</v>
      </c>
      <c r="K159" s="306">
        <f t="shared" si="27"/>
        <v>0</v>
      </c>
      <c r="L159" s="305">
        <f t="shared" si="28"/>
        <v>484</v>
      </c>
      <c r="M159" s="431">
        <f>Données!AE159</f>
        <v>0</v>
      </c>
      <c r="N159" s="433">
        <v>0</v>
      </c>
      <c r="O159" s="300">
        <f t="shared" si="25"/>
        <v>242</v>
      </c>
      <c r="P159" s="305">
        <f t="shared" si="29"/>
        <v>484</v>
      </c>
      <c r="Q159" s="306">
        <f t="shared" si="31"/>
        <v>7498.9461650077637</v>
      </c>
      <c r="R159" s="305">
        <f t="shared" si="32"/>
        <v>16429.791272749117</v>
      </c>
      <c r="S159" s="299">
        <f t="shared" si="33"/>
        <v>12142.5664035351</v>
      </c>
      <c r="T159" s="305">
        <f t="shared" si="34"/>
        <v>0</v>
      </c>
      <c r="U159" s="428">
        <f t="shared" si="30"/>
        <v>36071.303841291985</v>
      </c>
    </row>
    <row r="160" spans="1:21" x14ac:dyDescent="0.25">
      <c r="A160" s="108">
        <f>Données!A160</f>
        <v>5673</v>
      </c>
      <c r="B160" s="109" t="str">
        <f>Données!B160</f>
        <v>Hermenches</v>
      </c>
      <c r="C160" s="304">
        <f>Données!C160</f>
        <v>364</v>
      </c>
      <c r="D160" s="300">
        <f t="shared" si="26"/>
        <v>364</v>
      </c>
      <c r="E160" s="300">
        <f t="shared" si="35"/>
        <v>0</v>
      </c>
      <c r="F160" s="305">
        <f t="shared" si="35"/>
        <v>0</v>
      </c>
      <c r="G160" s="299">
        <f t="shared" si="35"/>
        <v>0</v>
      </c>
      <c r="H160" s="300">
        <f t="shared" si="35"/>
        <v>0</v>
      </c>
      <c r="I160" s="305">
        <f t="shared" si="35"/>
        <v>0</v>
      </c>
      <c r="J160" s="305">
        <f t="shared" si="35"/>
        <v>0</v>
      </c>
      <c r="K160" s="306">
        <f t="shared" si="27"/>
        <v>0</v>
      </c>
      <c r="L160" s="305">
        <f t="shared" si="28"/>
        <v>728</v>
      </c>
      <c r="M160" s="431">
        <f>Données!AE160</f>
        <v>0</v>
      </c>
      <c r="N160" s="433">
        <v>0</v>
      </c>
      <c r="O160" s="300">
        <f t="shared" si="25"/>
        <v>364</v>
      </c>
      <c r="P160" s="305">
        <f t="shared" si="29"/>
        <v>728</v>
      </c>
      <c r="Q160" s="306">
        <f t="shared" si="31"/>
        <v>11279.406628358785</v>
      </c>
      <c r="R160" s="305">
        <f t="shared" si="32"/>
        <v>24712.578608597843</v>
      </c>
      <c r="S160" s="299">
        <f t="shared" si="33"/>
        <v>18264.025499532134</v>
      </c>
      <c r="T160" s="305">
        <f t="shared" si="34"/>
        <v>0</v>
      </c>
      <c r="U160" s="428">
        <f t="shared" si="30"/>
        <v>54256.010736488766</v>
      </c>
    </row>
    <row r="161" spans="1:21" x14ac:dyDescent="0.25">
      <c r="A161" s="108">
        <f>Données!A161</f>
        <v>5674</v>
      </c>
      <c r="B161" s="109" t="str">
        <f>Données!B161</f>
        <v>Lovatens</v>
      </c>
      <c r="C161" s="304">
        <f>Données!C161</f>
        <v>152</v>
      </c>
      <c r="D161" s="300">
        <f t="shared" si="26"/>
        <v>152</v>
      </c>
      <c r="E161" s="300">
        <f t="shared" si="35"/>
        <v>0</v>
      </c>
      <c r="F161" s="305">
        <f t="shared" si="35"/>
        <v>0</v>
      </c>
      <c r="G161" s="299">
        <f t="shared" si="35"/>
        <v>0</v>
      </c>
      <c r="H161" s="300">
        <f t="shared" si="35"/>
        <v>0</v>
      </c>
      <c r="I161" s="305">
        <f t="shared" si="35"/>
        <v>0</v>
      </c>
      <c r="J161" s="305">
        <f t="shared" si="35"/>
        <v>0</v>
      </c>
      <c r="K161" s="306">
        <f t="shared" si="27"/>
        <v>0</v>
      </c>
      <c r="L161" s="305">
        <f t="shared" si="28"/>
        <v>304</v>
      </c>
      <c r="M161" s="431">
        <f>Données!AE161</f>
        <v>0</v>
      </c>
      <c r="N161" s="433">
        <v>0</v>
      </c>
      <c r="O161" s="300">
        <f t="shared" si="25"/>
        <v>152</v>
      </c>
      <c r="P161" s="305">
        <f t="shared" si="29"/>
        <v>304</v>
      </c>
      <c r="Q161" s="306">
        <f t="shared" si="31"/>
        <v>4710.0818887652067</v>
      </c>
      <c r="R161" s="305">
        <f t="shared" si="32"/>
        <v>10319.538320073825</v>
      </c>
      <c r="S161" s="299">
        <f t="shared" si="33"/>
        <v>7626.7359228815512</v>
      </c>
      <c r="T161" s="305">
        <f t="shared" si="34"/>
        <v>0</v>
      </c>
      <c r="U161" s="428">
        <f t="shared" si="30"/>
        <v>22656.356131720582</v>
      </c>
    </row>
    <row r="162" spans="1:21" x14ac:dyDescent="0.25">
      <c r="A162" s="108">
        <f>Données!A162</f>
        <v>5675</v>
      </c>
      <c r="B162" s="109" t="str">
        <f>Données!B162</f>
        <v>Lucens</v>
      </c>
      <c r="C162" s="304">
        <f>Données!C162</f>
        <v>5194</v>
      </c>
      <c r="D162" s="300">
        <f t="shared" si="26"/>
        <v>1000</v>
      </c>
      <c r="E162" s="300">
        <f t="shared" si="35"/>
        <v>2000</v>
      </c>
      <c r="F162" s="305">
        <f t="shared" si="35"/>
        <v>2000</v>
      </c>
      <c r="G162" s="299">
        <f t="shared" si="35"/>
        <v>194</v>
      </c>
      <c r="H162" s="300">
        <f t="shared" si="35"/>
        <v>0</v>
      </c>
      <c r="I162" s="305">
        <f t="shared" si="35"/>
        <v>0</v>
      </c>
      <c r="J162" s="305">
        <f t="shared" si="35"/>
        <v>0</v>
      </c>
      <c r="K162" s="306">
        <f t="shared" si="27"/>
        <v>0</v>
      </c>
      <c r="L162" s="305">
        <f t="shared" si="28"/>
        <v>15776</v>
      </c>
      <c r="M162" s="431">
        <f>Données!AE162</f>
        <v>0</v>
      </c>
      <c r="N162" s="433">
        <v>0</v>
      </c>
      <c r="O162" s="300">
        <f t="shared" si="25"/>
        <v>5194</v>
      </c>
      <c r="P162" s="305">
        <f t="shared" si="29"/>
        <v>15776</v>
      </c>
      <c r="Q162" s="306">
        <f t="shared" si="31"/>
        <v>160948.45612004265</v>
      </c>
      <c r="R162" s="305">
        <f t="shared" si="32"/>
        <v>352629.48706883844</v>
      </c>
      <c r="S162" s="299">
        <f t="shared" si="33"/>
        <v>395787.45368216891</v>
      </c>
      <c r="T162" s="305">
        <f t="shared" si="34"/>
        <v>0</v>
      </c>
      <c r="U162" s="428">
        <f t="shared" si="30"/>
        <v>909365.39687105</v>
      </c>
    </row>
    <row r="163" spans="1:21" x14ac:dyDescent="0.25">
      <c r="A163" s="108">
        <f>Données!A163</f>
        <v>5678</v>
      </c>
      <c r="B163" s="109" t="str">
        <f>Données!B163</f>
        <v>Moudon</v>
      </c>
      <c r="C163" s="304">
        <f>Données!C163</f>
        <v>6847</v>
      </c>
      <c r="D163" s="300">
        <f t="shared" si="26"/>
        <v>1000</v>
      </c>
      <c r="E163" s="300">
        <f t="shared" si="35"/>
        <v>2000</v>
      </c>
      <c r="F163" s="305">
        <f t="shared" si="35"/>
        <v>2000</v>
      </c>
      <c r="G163" s="299">
        <f t="shared" si="35"/>
        <v>1847</v>
      </c>
      <c r="H163" s="300">
        <f t="shared" si="35"/>
        <v>0</v>
      </c>
      <c r="I163" s="305">
        <f t="shared" si="35"/>
        <v>0</v>
      </c>
      <c r="J163" s="305">
        <f t="shared" si="35"/>
        <v>0</v>
      </c>
      <c r="K163" s="306">
        <f t="shared" si="27"/>
        <v>0</v>
      </c>
      <c r="L163" s="305">
        <f t="shared" si="28"/>
        <v>22388</v>
      </c>
      <c r="M163" s="431">
        <f>Données!AE163</f>
        <v>0</v>
      </c>
      <c r="N163" s="433">
        <v>0</v>
      </c>
      <c r="O163" s="300">
        <f t="shared" si="25"/>
        <v>6847</v>
      </c>
      <c r="P163" s="305">
        <f t="shared" si="29"/>
        <v>22388</v>
      </c>
      <c r="Q163" s="306">
        <f t="shared" si="31"/>
        <v>212170.5966603643</v>
      </c>
      <c r="R163" s="305">
        <f t="shared" si="32"/>
        <v>464854.4662996413</v>
      </c>
      <c r="S163" s="299">
        <f t="shared" si="33"/>
        <v>561668.96000484261</v>
      </c>
      <c r="T163" s="305">
        <f t="shared" si="34"/>
        <v>0</v>
      </c>
      <c r="U163" s="428">
        <f t="shared" si="30"/>
        <v>1238694.0229648482</v>
      </c>
    </row>
    <row r="164" spans="1:21" x14ac:dyDescent="0.25">
      <c r="A164" s="108">
        <f>Données!A164</f>
        <v>5680</v>
      </c>
      <c r="B164" s="109" t="str">
        <f>Données!B164</f>
        <v>Ogens</v>
      </c>
      <c r="C164" s="304">
        <f>Données!C164</f>
        <v>342</v>
      </c>
      <c r="D164" s="300">
        <f t="shared" si="26"/>
        <v>342</v>
      </c>
      <c r="E164" s="300">
        <f t="shared" si="35"/>
        <v>0</v>
      </c>
      <c r="F164" s="305">
        <f t="shared" si="35"/>
        <v>0</v>
      </c>
      <c r="G164" s="299">
        <f t="shared" si="35"/>
        <v>0</v>
      </c>
      <c r="H164" s="300">
        <f t="shared" si="35"/>
        <v>0</v>
      </c>
      <c r="I164" s="305">
        <f t="shared" si="35"/>
        <v>0</v>
      </c>
      <c r="J164" s="305">
        <f t="shared" si="35"/>
        <v>0</v>
      </c>
      <c r="K164" s="306">
        <f t="shared" si="27"/>
        <v>0</v>
      </c>
      <c r="L164" s="305">
        <f t="shared" si="28"/>
        <v>684</v>
      </c>
      <c r="M164" s="431">
        <f>Données!AE164</f>
        <v>0</v>
      </c>
      <c r="N164" s="433">
        <v>0</v>
      </c>
      <c r="O164" s="300">
        <f t="shared" si="25"/>
        <v>342</v>
      </c>
      <c r="P164" s="305">
        <f t="shared" si="29"/>
        <v>684</v>
      </c>
      <c r="Q164" s="306">
        <f t="shared" si="31"/>
        <v>10597.684249721715</v>
      </c>
      <c r="R164" s="305">
        <f t="shared" si="32"/>
        <v>23218.961220166104</v>
      </c>
      <c r="S164" s="299">
        <f t="shared" si="33"/>
        <v>17160.155826483489</v>
      </c>
      <c r="T164" s="305">
        <f t="shared" si="34"/>
        <v>0</v>
      </c>
      <c r="U164" s="428">
        <f t="shared" si="30"/>
        <v>50976.801296371312</v>
      </c>
    </row>
    <row r="165" spans="1:21" x14ac:dyDescent="0.25">
      <c r="A165" s="108">
        <f>Données!A165</f>
        <v>5683</v>
      </c>
      <c r="B165" s="109" t="str">
        <f>Données!B165</f>
        <v>Prévonloup</v>
      </c>
      <c r="C165" s="304">
        <f>Données!C165</f>
        <v>249</v>
      </c>
      <c r="D165" s="300">
        <f t="shared" si="26"/>
        <v>249</v>
      </c>
      <c r="E165" s="300">
        <f t="shared" si="35"/>
        <v>0</v>
      </c>
      <c r="F165" s="305">
        <f t="shared" si="35"/>
        <v>0</v>
      </c>
      <c r="G165" s="299">
        <f t="shared" si="35"/>
        <v>0</v>
      </c>
      <c r="H165" s="300">
        <f t="shared" si="35"/>
        <v>0</v>
      </c>
      <c r="I165" s="305">
        <f t="shared" si="35"/>
        <v>0</v>
      </c>
      <c r="J165" s="305">
        <f t="shared" si="35"/>
        <v>0</v>
      </c>
      <c r="K165" s="306">
        <f t="shared" si="27"/>
        <v>0</v>
      </c>
      <c r="L165" s="305">
        <f t="shared" si="28"/>
        <v>498</v>
      </c>
      <c r="M165" s="431">
        <f>Données!AE165</f>
        <v>0</v>
      </c>
      <c r="N165" s="433">
        <v>0</v>
      </c>
      <c r="O165" s="300">
        <f t="shared" si="25"/>
        <v>249</v>
      </c>
      <c r="P165" s="305">
        <f t="shared" si="29"/>
        <v>498</v>
      </c>
      <c r="Q165" s="306">
        <f t="shared" si="31"/>
        <v>7715.8578309377399</v>
      </c>
      <c r="R165" s="305">
        <f t="shared" si="32"/>
        <v>16905.033169068305</v>
      </c>
      <c r="S165" s="299">
        <f t="shared" si="33"/>
        <v>12493.797663141488</v>
      </c>
      <c r="T165" s="305">
        <f t="shared" si="34"/>
        <v>0</v>
      </c>
      <c r="U165" s="428">
        <f t="shared" si="30"/>
        <v>37114.688663147535</v>
      </c>
    </row>
    <row r="166" spans="1:21" x14ac:dyDescent="0.25">
      <c r="A166" s="108">
        <f>Données!A166</f>
        <v>5684</v>
      </c>
      <c r="B166" s="109" t="str">
        <f>Données!B166</f>
        <v>Rossenges</v>
      </c>
      <c r="C166" s="304">
        <f>Données!C166</f>
        <v>82</v>
      </c>
      <c r="D166" s="300">
        <f t="shared" si="26"/>
        <v>82</v>
      </c>
      <c r="E166" s="300">
        <f t="shared" si="35"/>
        <v>0</v>
      </c>
      <c r="F166" s="305">
        <f t="shared" si="35"/>
        <v>0</v>
      </c>
      <c r="G166" s="299">
        <f t="shared" si="35"/>
        <v>0</v>
      </c>
      <c r="H166" s="300">
        <f t="shared" si="35"/>
        <v>0</v>
      </c>
      <c r="I166" s="305">
        <f t="shared" si="35"/>
        <v>0</v>
      </c>
      <c r="J166" s="305">
        <f t="shared" si="35"/>
        <v>0</v>
      </c>
      <c r="K166" s="306">
        <f t="shared" si="27"/>
        <v>0</v>
      </c>
      <c r="L166" s="305">
        <f t="shared" si="28"/>
        <v>164</v>
      </c>
      <c r="M166" s="431">
        <f>Données!AE166</f>
        <v>0</v>
      </c>
      <c r="N166" s="433">
        <v>0</v>
      </c>
      <c r="O166" s="300">
        <f t="shared" si="25"/>
        <v>82</v>
      </c>
      <c r="P166" s="305">
        <f t="shared" si="29"/>
        <v>164</v>
      </c>
      <c r="Q166" s="306">
        <f t="shared" si="31"/>
        <v>2540.9652294654406</v>
      </c>
      <c r="R166" s="305">
        <f t="shared" si="32"/>
        <v>5567.1193568819317</v>
      </c>
      <c r="S166" s="299">
        <f t="shared" si="33"/>
        <v>4114.4233268176786</v>
      </c>
      <c r="T166" s="305">
        <f t="shared" si="34"/>
        <v>0</v>
      </c>
      <c r="U166" s="428">
        <f t="shared" si="30"/>
        <v>12222.507913165051</v>
      </c>
    </row>
    <row r="167" spans="1:21" x14ac:dyDescent="0.25">
      <c r="A167" s="108">
        <f>Données!A167</f>
        <v>5688</v>
      </c>
      <c r="B167" s="109" t="str">
        <f>Données!B167</f>
        <v>Syens</v>
      </c>
      <c r="C167" s="304">
        <f>Données!C167</f>
        <v>144</v>
      </c>
      <c r="D167" s="300">
        <f t="shared" si="26"/>
        <v>144</v>
      </c>
      <c r="E167" s="300">
        <f t="shared" si="35"/>
        <v>0</v>
      </c>
      <c r="F167" s="305">
        <f t="shared" si="35"/>
        <v>0</v>
      </c>
      <c r="G167" s="299">
        <f t="shared" si="35"/>
        <v>0</v>
      </c>
      <c r="H167" s="300">
        <f t="shared" si="35"/>
        <v>0</v>
      </c>
      <c r="I167" s="305">
        <f t="shared" si="35"/>
        <v>0</v>
      </c>
      <c r="J167" s="305">
        <f t="shared" si="35"/>
        <v>0</v>
      </c>
      <c r="K167" s="306">
        <f t="shared" si="27"/>
        <v>0</v>
      </c>
      <c r="L167" s="305">
        <f t="shared" si="28"/>
        <v>288</v>
      </c>
      <c r="M167" s="431">
        <f>Données!AE167</f>
        <v>0</v>
      </c>
      <c r="N167" s="433">
        <v>0</v>
      </c>
      <c r="O167" s="300">
        <f t="shared" si="25"/>
        <v>144</v>
      </c>
      <c r="P167" s="305">
        <f t="shared" si="29"/>
        <v>288</v>
      </c>
      <c r="Q167" s="306">
        <f t="shared" si="31"/>
        <v>4462.1828419880912</v>
      </c>
      <c r="R167" s="305">
        <f t="shared" si="32"/>
        <v>9776.4047242804645</v>
      </c>
      <c r="S167" s="299">
        <f t="shared" si="33"/>
        <v>7225.32876904568</v>
      </c>
      <c r="T167" s="305">
        <f t="shared" si="34"/>
        <v>0</v>
      </c>
      <c r="U167" s="428">
        <f t="shared" si="30"/>
        <v>21463.916335314236</v>
      </c>
    </row>
    <row r="168" spans="1:21" x14ac:dyDescent="0.25">
      <c r="A168" s="108">
        <f>Données!A168</f>
        <v>5690</v>
      </c>
      <c r="B168" s="109" t="str">
        <f>Données!B168</f>
        <v>Villars-le-Comte</v>
      </c>
      <c r="C168" s="304">
        <f>Données!C168</f>
        <v>129</v>
      </c>
      <c r="D168" s="300">
        <f t="shared" si="26"/>
        <v>129</v>
      </c>
      <c r="E168" s="300">
        <f t="shared" si="35"/>
        <v>0</v>
      </c>
      <c r="F168" s="305">
        <f t="shared" si="35"/>
        <v>0</v>
      </c>
      <c r="G168" s="299">
        <f t="shared" si="35"/>
        <v>0</v>
      </c>
      <c r="H168" s="300">
        <f t="shared" si="35"/>
        <v>0</v>
      </c>
      <c r="I168" s="305">
        <f t="shared" si="35"/>
        <v>0</v>
      </c>
      <c r="J168" s="305">
        <f t="shared" si="35"/>
        <v>0</v>
      </c>
      <c r="K168" s="306">
        <f t="shared" si="27"/>
        <v>0</v>
      </c>
      <c r="L168" s="305">
        <f t="shared" si="28"/>
        <v>258</v>
      </c>
      <c r="M168" s="431">
        <f>Données!AE168</f>
        <v>0</v>
      </c>
      <c r="N168" s="433">
        <v>0</v>
      </c>
      <c r="O168" s="300">
        <f t="shared" si="25"/>
        <v>129</v>
      </c>
      <c r="P168" s="305">
        <f t="shared" si="29"/>
        <v>258</v>
      </c>
      <c r="Q168" s="306">
        <f t="shared" si="31"/>
        <v>3997.3721292809978</v>
      </c>
      <c r="R168" s="305">
        <f t="shared" si="32"/>
        <v>8758.0292321679171</v>
      </c>
      <c r="S168" s="299">
        <f t="shared" si="33"/>
        <v>6472.6903556034213</v>
      </c>
      <c r="T168" s="305">
        <f t="shared" si="34"/>
        <v>0</v>
      </c>
      <c r="U168" s="428">
        <f t="shared" si="30"/>
        <v>19228.091717052339</v>
      </c>
    </row>
    <row r="169" spans="1:21" x14ac:dyDescent="0.25">
      <c r="A169" s="108">
        <f>Données!A169</f>
        <v>5692</v>
      </c>
      <c r="B169" s="109" t="str">
        <f>Données!B169</f>
        <v>Vucherens</v>
      </c>
      <c r="C169" s="304">
        <f>Données!C169</f>
        <v>634</v>
      </c>
      <c r="D169" s="300">
        <f t="shared" si="26"/>
        <v>634</v>
      </c>
      <c r="E169" s="300">
        <f t="shared" si="35"/>
        <v>0</v>
      </c>
      <c r="F169" s="305">
        <f t="shared" si="35"/>
        <v>0</v>
      </c>
      <c r="G169" s="299">
        <f t="shared" si="35"/>
        <v>0</v>
      </c>
      <c r="H169" s="300">
        <f t="shared" si="35"/>
        <v>0</v>
      </c>
      <c r="I169" s="305">
        <f t="shared" si="35"/>
        <v>0</v>
      </c>
      <c r="J169" s="305">
        <f t="shared" si="35"/>
        <v>0</v>
      </c>
      <c r="K169" s="306">
        <f t="shared" si="27"/>
        <v>0</v>
      </c>
      <c r="L169" s="305">
        <f t="shared" si="28"/>
        <v>1268</v>
      </c>
      <c r="M169" s="431">
        <f>Données!AE169</f>
        <v>0</v>
      </c>
      <c r="N169" s="433">
        <v>0</v>
      </c>
      <c r="O169" s="300">
        <f t="shared" si="25"/>
        <v>634</v>
      </c>
      <c r="P169" s="305">
        <f t="shared" si="29"/>
        <v>1268</v>
      </c>
      <c r="Q169" s="306">
        <f t="shared" si="31"/>
        <v>19645.999457086455</v>
      </c>
      <c r="R169" s="305">
        <f t="shared" si="32"/>
        <v>43043.337466623714</v>
      </c>
      <c r="S169" s="299">
        <f t="shared" si="33"/>
        <v>31811.516941492784</v>
      </c>
      <c r="T169" s="305">
        <f t="shared" si="34"/>
        <v>0</v>
      </c>
      <c r="U169" s="428">
        <f t="shared" si="30"/>
        <v>94500.853865202953</v>
      </c>
    </row>
    <row r="170" spans="1:21" x14ac:dyDescent="0.25">
      <c r="A170" s="108">
        <f>Données!A170</f>
        <v>5693</v>
      </c>
      <c r="B170" s="109" t="str">
        <f>Données!B170</f>
        <v>Montanaire</v>
      </c>
      <c r="C170" s="304">
        <f>Données!C170</f>
        <v>2856</v>
      </c>
      <c r="D170" s="300">
        <f t="shared" si="26"/>
        <v>1000</v>
      </c>
      <c r="E170" s="300">
        <f t="shared" si="35"/>
        <v>1856</v>
      </c>
      <c r="F170" s="305">
        <f t="shared" si="35"/>
        <v>0</v>
      </c>
      <c r="G170" s="299">
        <f t="shared" si="35"/>
        <v>0</v>
      </c>
      <c r="H170" s="300">
        <f t="shared" si="35"/>
        <v>0</v>
      </c>
      <c r="I170" s="305">
        <f t="shared" si="35"/>
        <v>0</v>
      </c>
      <c r="J170" s="305">
        <f t="shared" si="35"/>
        <v>0</v>
      </c>
      <c r="K170" s="306">
        <f t="shared" si="27"/>
        <v>0</v>
      </c>
      <c r="L170" s="305">
        <f t="shared" si="28"/>
        <v>7568</v>
      </c>
      <c r="M170" s="431">
        <f>Données!AE170</f>
        <v>0</v>
      </c>
      <c r="N170" s="433">
        <v>0</v>
      </c>
      <c r="O170" s="300">
        <f t="shared" si="25"/>
        <v>2856</v>
      </c>
      <c r="P170" s="305">
        <f t="shared" si="29"/>
        <v>7568</v>
      </c>
      <c r="Q170" s="306">
        <f t="shared" si="31"/>
        <v>88499.959699430474</v>
      </c>
      <c r="R170" s="305">
        <f t="shared" si="32"/>
        <v>193898.69369822924</v>
      </c>
      <c r="S170" s="299">
        <f t="shared" si="33"/>
        <v>189865.58376436704</v>
      </c>
      <c r="T170" s="305">
        <f t="shared" si="34"/>
        <v>0</v>
      </c>
      <c r="U170" s="428">
        <f t="shared" si="30"/>
        <v>472264.23716202675</v>
      </c>
    </row>
    <row r="171" spans="1:21" x14ac:dyDescent="0.25">
      <c r="A171" s="108">
        <f>Données!A171</f>
        <v>5701</v>
      </c>
      <c r="B171" s="109" t="str">
        <f>Données!B171</f>
        <v>Arnex-sur-Nyon</v>
      </c>
      <c r="C171" s="304">
        <f>Données!C171</f>
        <v>274</v>
      </c>
      <c r="D171" s="300">
        <f t="shared" si="26"/>
        <v>274</v>
      </c>
      <c r="E171" s="300">
        <f t="shared" si="35"/>
        <v>0</v>
      </c>
      <c r="F171" s="305">
        <f t="shared" si="35"/>
        <v>0</v>
      </c>
      <c r="G171" s="299">
        <f t="shared" si="35"/>
        <v>0</v>
      </c>
      <c r="H171" s="300">
        <f t="shared" si="35"/>
        <v>0</v>
      </c>
      <c r="I171" s="305">
        <f t="shared" si="35"/>
        <v>0</v>
      </c>
      <c r="J171" s="305">
        <f t="shared" si="35"/>
        <v>0</v>
      </c>
      <c r="K171" s="306">
        <f t="shared" si="27"/>
        <v>0</v>
      </c>
      <c r="L171" s="305">
        <f t="shared" si="28"/>
        <v>548</v>
      </c>
      <c r="M171" s="431">
        <f>Données!AE171</f>
        <v>0</v>
      </c>
      <c r="N171" s="433">
        <v>0</v>
      </c>
      <c r="O171" s="300">
        <f t="shared" si="25"/>
        <v>274</v>
      </c>
      <c r="P171" s="305">
        <f t="shared" si="29"/>
        <v>548</v>
      </c>
      <c r="Q171" s="306">
        <f t="shared" si="31"/>
        <v>8490.5423521162284</v>
      </c>
      <c r="R171" s="305">
        <f t="shared" si="32"/>
        <v>18602.325655922552</v>
      </c>
      <c r="S171" s="299">
        <f t="shared" si="33"/>
        <v>13748.195018878585</v>
      </c>
      <c r="T171" s="305">
        <f t="shared" si="34"/>
        <v>0</v>
      </c>
      <c r="U171" s="428">
        <f t="shared" si="30"/>
        <v>40841.063026917363</v>
      </c>
    </row>
    <row r="172" spans="1:21" x14ac:dyDescent="0.25">
      <c r="A172" s="108">
        <f>Données!A172</f>
        <v>5702</v>
      </c>
      <c r="B172" s="109" t="str">
        <f>Données!B172</f>
        <v>Arzier-Le Muids</v>
      </c>
      <c r="C172" s="304">
        <f>Données!C172</f>
        <v>2999</v>
      </c>
      <c r="D172" s="300">
        <f t="shared" si="26"/>
        <v>1000</v>
      </c>
      <c r="E172" s="300">
        <f t="shared" si="35"/>
        <v>1999</v>
      </c>
      <c r="F172" s="305">
        <f t="shared" si="35"/>
        <v>0</v>
      </c>
      <c r="G172" s="299">
        <f t="shared" si="35"/>
        <v>0</v>
      </c>
      <c r="H172" s="300">
        <f t="shared" si="35"/>
        <v>0</v>
      </c>
      <c r="I172" s="305">
        <f t="shared" si="35"/>
        <v>0</v>
      </c>
      <c r="J172" s="305">
        <f t="shared" si="35"/>
        <v>0</v>
      </c>
      <c r="K172" s="306">
        <f t="shared" si="27"/>
        <v>0</v>
      </c>
      <c r="L172" s="305">
        <f t="shared" si="28"/>
        <v>7997</v>
      </c>
      <c r="M172" s="431">
        <f>Données!AE172</f>
        <v>0</v>
      </c>
      <c r="N172" s="433">
        <v>0</v>
      </c>
      <c r="O172" s="300">
        <f t="shared" si="25"/>
        <v>2999</v>
      </c>
      <c r="P172" s="305">
        <f t="shared" si="29"/>
        <v>7997</v>
      </c>
      <c r="Q172" s="306">
        <f t="shared" si="31"/>
        <v>92931.155160571419</v>
      </c>
      <c r="R172" s="305">
        <f t="shared" si="32"/>
        <v>203607.20672303552</v>
      </c>
      <c r="S172" s="299">
        <f t="shared" si="33"/>
        <v>200628.31307659132</v>
      </c>
      <c r="T172" s="305">
        <f t="shared" si="34"/>
        <v>0</v>
      </c>
      <c r="U172" s="428">
        <f t="shared" si="30"/>
        <v>497166.67496019823</v>
      </c>
    </row>
    <row r="173" spans="1:21" x14ac:dyDescent="0.25">
      <c r="A173" s="108">
        <f>Données!A173</f>
        <v>5703</v>
      </c>
      <c r="B173" s="109" t="str">
        <f>Données!B173</f>
        <v>Bassins</v>
      </c>
      <c r="C173" s="304">
        <f>Données!C173</f>
        <v>1468</v>
      </c>
      <c r="D173" s="300">
        <f t="shared" si="26"/>
        <v>1000</v>
      </c>
      <c r="E173" s="300">
        <f t="shared" si="35"/>
        <v>468</v>
      </c>
      <c r="F173" s="305">
        <f t="shared" si="35"/>
        <v>0</v>
      </c>
      <c r="G173" s="299">
        <f t="shared" si="35"/>
        <v>0</v>
      </c>
      <c r="H173" s="300">
        <f t="shared" si="35"/>
        <v>0</v>
      </c>
      <c r="I173" s="305">
        <f t="shared" si="35"/>
        <v>0</v>
      </c>
      <c r="J173" s="305">
        <f t="shared" si="35"/>
        <v>0</v>
      </c>
      <c r="K173" s="306">
        <f t="shared" si="27"/>
        <v>0</v>
      </c>
      <c r="L173" s="305">
        <f t="shared" si="28"/>
        <v>3404</v>
      </c>
      <c r="M173" s="431">
        <f>Données!AE173</f>
        <v>0</v>
      </c>
      <c r="N173" s="433">
        <v>0</v>
      </c>
      <c r="O173" s="300">
        <f t="shared" si="25"/>
        <v>1468</v>
      </c>
      <c r="P173" s="305">
        <f t="shared" si="29"/>
        <v>3404</v>
      </c>
      <c r="Q173" s="306">
        <f t="shared" si="31"/>
        <v>45489.475083600817</v>
      </c>
      <c r="R173" s="305">
        <f t="shared" si="32"/>
        <v>99665.014828081403</v>
      </c>
      <c r="S173" s="299">
        <f t="shared" si="33"/>
        <v>85399.371978581577</v>
      </c>
      <c r="T173" s="305">
        <f t="shared" si="34"/>
        <v>0</v>
      </c>
      <c r="U173" s="428">
        <f t="shared" si="30"/>
        <v>230553.8618902638</v>
      </c>
    </row>
    <row r="174" spans="1:21" x14ac:dyDescent="0.25">
      <c r="A174" s="108">
        <f>Données!A174</f>
        <v>5704</v>
      </c>
      <c r="B174" s="109" t="str">
        <f>Données!B174</f>
        <v>Begnins</v>
      </c>
      <c r="C174" s="304">
        <f>Données!C174</f>
        <v>2047</v>
      </c>
      <c r="D174" s="300">
        <f t="shared" si="26"/>
        <v>1000</v>
      </c>
      <c r="E174" s="300">
        <f t="shared" si="35"/>
        <v>1047</v>
      </c>
      <c r="F174" s="305">
        <f t="shared" si="35"/>
        <v>0</v>
      </c>
      <c r="G174" s="299">
        <f t="shared" si="35"/>
        <v>0</v>
      </c>
      <c r="H174" s="300">
        <f t="shared" si="35"/>
        <v>0</v>
      </c>
      <c r="I174" s="305">
        <f t="shared" si="35"/>
        <v>0</v>
      </c>
      <c r="J174" s="305">
        <f t="shared" si="35"/>
        <v>0</v>
      </c>
      <c r="K174" s="306">
        <f t="shared" si="27"/>
        <v>0</v>
      </c>
      <c r="L174" s="305">
        <f t="shared" si="28"/>
        <v>5141</v>
      </c>
      <c r="M174" s="431">
        <f>Données!AE174</f>
        <v>0</v>
      </c>
      <c r="N174" s="433">
        <v>0</v>
      </c>
      <c r="O174" s="300">
        <f t="shared" si="25"/>
        <v>2047</v>
      </c>
      <c r="P174" s="305">
        <f t="shared" si="29"/>
        <v>5141</v>
      </c>
      <c r="Q174" s="306">
        <f t="shared" si="31"/>
        <v>63431.168594094597</v>
      </c>
      <c r="R174" s="305">
        <f t="shared" si="32"/>
        <v>138974.30882362579</v>
      </c>
      <c r="S174" s="299">
        <f t="shared" si="33"/>
        <v>128977.13611688833</v>
      </c>
      <c r="T174" s="305">
        <f t="shared" si="34"/>
        <v>0</v>
      </c>
      <c r="U174" s="428">
        <f t="shared" si="30"/>
        <v>331382.61353460874</v>
      </c>
    </row>
    <row r="175" spans="1:21" x14ac:dyDescent="0.25">
      <c r="A175" s="108">
        <f>Données!A175</f>
        <v>5705</v>
      </c>
      <c r="B175" s="109" t="str">
        <f>Données!B175</f>
        <v>Bogis-Bossey</v>
      </c>
      <c r="C175" s="304">
        <f>Données!C175</f>
        <v>961</v>
      </c>
      <c r="D175" s="300">
        <f t="shared" si="26"/>
        <v>961</v>
      </c>
      <c r="E175" s="300">
        <f t="shared" si="35"/>
        <v>0</v>
      </c>
      <c r="F175" s="305">
        <f t="shared" si="35"/>
        <v>0</v>
      </c>
      <c r="G175" s="299">
        <f t="shared" si="35"/>
        <v>0</v>
      </c>
      <c r="H175" s="300">
        <f t="shared" si="35"/>
        <v>0</v>
      </c>
      <c r="I175" s="305">
        <f t="shared" si="35"/>
        <v>0</v>
      </c>
      <c r="J175" s="305">
        <f t="shared" si="35"/>
        <v>0</v>
      </c>
      <c r="K175" s="306">
        <f t="shared" si="27"/>
        <v>0</v>
      </c>
      <c r="L175" s="305">
        <f t="shared" si="28"/>
        <v>1922</v>
      </c>
      <c r="M175" s="431">
        <f>Données!AE175</f>
        <v>0</v>
      </c>
      <c r="N175" s="433">
        <v>0</v>
      </c>
      <c r="O175" s="300">
        <f t="shared" si="25"/>
        <v>961</v>
      </c>
      <c r="P175" s="305">
        <f t="shared" si="29"/>
        <v>1922</v>
      </c>
      <c r="Q175" s="306">
        <f t="shared" si="31"/>
        <v>29778.872994101079</v>
      </c>
      <c r="R175" s="305">
        <f t="shared" si="32"/>
        <v>65243.923194677271</v>
      </c>
      <c r="S175" s="299">
        <f t="shared" si="33"/>
        <v>48219.034354534015</v>
      </c>
      <c r="T175" s="305">
        <f t="shared" si="34"/>
        <v>0</v>
      </c>
      <c r="U175" s="428">
        <f t="shared" si="30"/>
        <v>143241.83054331236</v>
      </c>
    </row>
    <row r="176" spans="1:21" x14ac:dyDescent="0.25">
      <c r="A176" s="108">
        <f>Données!A176</f>
        <v>5706</v>
      </c>
      <c r="B176" s="109" t="str">
        <f>Données!B176</f>
        <v>Borex</v>
      </c>
      <c r="C176" s="304">
        <f>Données!C176</f>
        <v>1168</v>
      </c>
      <c r="D176" s="300">
        <f t="shared" si="26"/>
        <v>1000</v>
      </c>
      <c r="E176" s="300">
        <f t="shared" si="35"/>
        <v>168</v>
      </c>
      <c r="F176" s="305">
        <f t="shared" si="35"/>
        <v>0</v>
      </c>
      <c r="G176" s="299">
        <f t="shared" si="35"/>
        <v>0</v>
      </c>
      <c r="H176" s="300">
        <f t="shared" si="35"/>
        <v>0</v>
      </c>
      <c r="I176" s="305">
        <f t="shared" si="35"/>
        <v>0</v>
      </c>
      <c r="J176" s="305">
        <f t="shared" si="35"/>
        <v>0</v>
      </c>
      <c r="K176" s="306">
        <f t="shared" si="27"/>
        <v>0</v>
      </c>
      <c r="L176" s="305">
        <f t="shared" si="28"/>
        <v>2504</v>
      </c>
      <c r="M176" s="431">
        <f>Données!AE176</f>
        <v>0</v>
      </c>
      <c r="N176" s="433">
        <v>0</v>
      </c>
      <c r="O176" s="300">
        <f t="shared" si="25"/>
        <v>1168</v>
      </c>
      <c r="P176" s="305">
        <f t="shared" si="29"/>
        <v>2504</v>
      </c>
      <c r="Q176" s="306">
        <f t="shared" si="31"/>
        <v>36193.260829458959</v>
      </c>
      <c r="R176" s="305">
        <f t="shared" si="32"/>
        <v>79297.504985830441</v>
      </c>
      <c r="S176" s="299">
        <f t="shared" si="33"/>
        <v>62820.219575313829</v>
      </c>
      <c r="T176" s="305">
        <f t="shared" si="34"/>
        <v>0</v>
      </c>
      <c r="U176" s="428">
        <f t="shared" si="30"/>
        <v>178310.98539060322</v>
      </c>
    </row>
    <row r="177" spans="1:21" x14ac:dyDescent="0.25">
      <c r="A177" s="108">
        <f>Données!A177</f>
        <v>5707</v>
      </c>
      <c r="B177" s="109" t="str">
        <f>Données!B177</f>
        <v>Chavannes-de-Bogis</v>
      </c>
      <c r="C177" s="304">
        <f>Données!C177</f>
        <v>1423</v>
      </c>
      <c r="D177" s="300">
        <f t="shared" si="26"/>
        <v>1000</v>
      </c>
      <c r="E177" s="300">
        <f t="shared" si="35"/>
        <v>423</v>
      </c>
      <c r="F177" s="305">
        <f t="shared" si="35"/>
        <v>0</v>
      </c>
      <c r="G177" s="299">
        <f t="shared" si="35"/>
        <v>0</v>
      </c>
      <c r="H177" s="300">
        <f t="shared" si="35"/>
        <v>0</v>
      </c>
      <c r="I177" s="305">
        <f t="shared" si="35"/>
        <v>0</v>
      </c>
      <c r="J177" s="305">
        <f t="shared" si="35"/>
        <v>0</v>
      </c>
      <c r="K177" s="306">
        <f t="shared" si="27"/>
        <v>0</v>
      </c>
      <c r="L177" s="305">
        <f t="shared" si="28"/>
        <v>3269</v>
      </c>
      <c r="M177" s="431">
        <f>Données!AE177</f>
        <v>0</v>
      </c>
      <c r="N177" s="433">
        <v>0</v>
      </c>
      <c r="O177" s="300">
        <f t="shared" si="25"/>
        <v>1423</v>
      </c>
      <c r="P177" s="305">
        <f t="shared" si="29"/>
        <v>3269</v>
      </c>
      <c r="Q177" s="306">
        <f t="shared" si="31"/>
        <v>44095.042945479538</v>
      </c>
      <c r="R177" s="305">
        <f t="shared" si="32"/>
        <v>96609.888351743764</v>
      </c>
      <c r="S177" s="299">
        <f t="shared" si="33"/>
        <v>82012.499118091408</v>
      </c>
      <c r="T177" s="305">
        <f t="shared" si="34"/>
        <v>0</v>
      </c>
      <c r="U177" s="428">
        <f t="shared" si="30"/>
        <v>222717.43041531474</v>
      </c>
    </row>
    <row r="178" spans="1:21" x14ac:dyDescent="0.25">
      <c r="A178" s="108">
        <f>Données!A178</f>
        <v>5708</v>
      </c>
      <c r="B178" s="109" t="str">
        <f>Données!B178</f>
        <v>Chavannes-des-Bois</v>
      </c>
      <c r="C178" s="304">
        <f>Données!C178</f>
        <v>983</v>
      </c>
      <c r="D178" s="300">
        <f t="shared" si="26"/>
        <v>983</v>
      </c>
      <c r="E178" s="300">
        <f t="shared" si="35"/>
        <v>0</v>
      </c>
      <c r="F178" s="305">
        <f t="shared" si="35"/>
        <v>0</v>
      </c>
      <c r="G178" s="299">
        <f t="shared" si="35"/>
        <v>0</v>
      </c>
      <c r="H178" s="300">
        <f t="shared" si="35"/>
        <v>0</v>
      </c>
      <c r="I178" s="305">
        <f t="shared" si="35"/>
        <v>0</v>
      </c>
      <c r="J178" s="305">
        <f t="shared" si="35"/>
        <v>0</v>
      </c>
      <c r="K178" s="306">
        <f t="shared" si="27"/>
        <v>0</v>
      </c>
      <c r="L178" s="305">
        <f t="shared" si="28"/>
        <v>1966</v>
      </c>
      <c r="M178" s="431">
        <f>Données!AE178</f>
        <v>0</v>
      </c>
      <c r="N178" s="433">
        <v>0</v>
      </c>
      <c r="O178" s="300">
        <f t="shared" si="25"/>
        <v>983</v>
      </c>
      <c r="P178" s="305">
        <f t="shared" si="29"/>
        <v>1966</v>
      </c>
      <c r="Q178" s="306">
        <f t="shared" si="31"/>
        <v>30460.595372738149</v>
      </c>
      <c r="R178" s="305">
        <f t="shared" si="32"/>
        <v>66737.540583109003</v>
      </c>
      <c r="S178" s="299">
        <f t="shared" si="33"/>
        <v>49322.904027582663</v>
      </c>
      <c r="T178" s="305">
        <f t="shared" si="34"/>
        <v>0</v>
      </c>
      <c r="U178" s="428">
        <f t="shared" si="30"/>
        <v>146521.03998342983</v>
      </c>
    </row>
    <row r="179" spans="1:21" x14ac:dyDescent="0.25">
      <c r="A179" s="108">
        <f>Données!A179</f>
        <v>5709</v>
      </c>
      <c r="B179" s="109" t="str">
        <f>Données!B179</f>
        <v>Chéserex</v>
      </c>
      <c r="C179" s="304">
        <f>Données!C179</f>
        <v>1272</v>
      </c>
      <c r="D179" s="300">
        <f t="shared" si="26"/>
        <v>1000</v>
      </c>
      <c r="E179" s="300">
        <f t="shared" si="35"/>
        <v>272</v>
      </c>
      <c r="F179" s="305">
        <f t="shared" si="35"/>
        <v>0</v>
      </c>
      <c r="G179" s="299">
        <f t="shared" si="35"/>
        <v>0</v>
      </c>
      <c r="H179" s="300">
        <f t="shared" si="35"/>
        <v>0</v>
      </c>
      <c r="I179" s="305">
        <f t="shared" si="35"/>
        <v>0</v>
      </c>
      <c r="J179" s="305">
        <f t="shared" si="35"/>
        <v>0</v>
      </c>
      <c r="K179" s="306">
        <f t="shared" si="27"/>
        <v>0</v>
      </c>
      <c r="L179" s="305">
        <f t="shared" si="28"/>
        <v>2816</v>
      </c>
      <c r="M179" s="431">
        <f>Données!AE179</f>
        <v>0</v>
      </c>
      <c r="N179" s="433">
        <v>0</v>
      </c>
      <c r="O179" s="300">
        <f t="shared" si="25"/>
        <v>1272</v>
      </c>
      <c r="P179" s="305">
        <f t="shared" si="29"/>
        <v>2816</v>
      </c>
      <c r="Q179" s="306">
        <f t="shared" si="31"/>
        <v>39415.94843756147</v>
      </c>
      <c r="R179" s="305">
        <f t="shared" si="32"/>
        <v>86358.24173114411</v>
      </c>
      <c r="S179" s="299">
        <f t="shared" si="33"/>
        <v>70647.659075113319</v>
      </c>
      <c r="T179" s="305">
        <f t="shared" si="34"/>
        <v>0</v>
      </c>
      <c r="U179" s="428">
        <f t="shared" si="30"/>
        <v>196421.8492438189</v>
      </c>
    </row>
    <row r="180" spans="1:21" x14ac:dyDescent="0.25">
      <c r="A180" s="108">
        <f>Données!A180</f>
        <v>5710</v>
      </c>
      <c r="B180" s="109" t="str">
        <f>Données!B180</f>
        <v>Coinsins</v>
      </c>
      <c r="C180" s="304">
        <f>Données!C180</f>
        <v>510</v>
      </c>
      <c r="D180" s="300">
        <f t="shared" si="26"/>
        <v>510</v>
      </c>
      <c r="E180" s="300">
        <f t="shared" si="35"/>
        <v>0</v>
      </c>
      <c r="F180" s="305">
        <f t="shared" si="35"/>
        <v>0</v>
      </c>
      <c r="G180" s="299">
        <f t="shared" si="35"/>
        <v>0</v>
      </c>
      <c r="H180" s="300">
        <f t="shared" si="35"/>
        <v>0</v>
      </c>
      <c r="I180" s="305">
        <f t="shared" si="35"/>
        <v>0</v>
      </c>
      <c r="J180" s="305">
        <f t="shared" si="35"/>
        <v>0</v>
      </c>
      <c r="K180" s="306">
        <f t="shared" si="27"/>
        <v>0</v>
      </c>
      <c r="L180" s="305">
        <f t="shared" si="28"/>
        <v>1020</v>
      </c>
      <c r="M180" s="431">
        <f>Données!AE180</f>
        <v>0</v>
      </c>
      <c r="N180" s="433">
        <v>0</v>
      </c>
      <c r="O180" s="300">
        <f t="shared" si="25"/>
        <v>510</v>
      </c>
      <c r="P180" s="305">
        <f t="shared" si="29"/>
        <v>1020</v>
      </c>
      <c r="Q180" s="306">
        <f t="shared" si="31"/>
        <v>15803.564232041155</v>
      </c>
      <c r="R180" s="305">
        <f t="shared" si="32"/>
        <v>34624.766731826647</v>
      </c>
      <c r="S180" s="299">
        <f t="shared" si="33"/>
        <v>25589.706057036783</v>
      </c>
      <c r="T180" s="305">
        <f t="shared" si="34"/>
        <v>0</v>
      </c>
      <c r="U180" s="428">
        <f t="shared" si="30"/>
        <v>76018.037020904594</v>
      </c>
    </row>
    <row r="181" spans="1:21" x14ac:dyDescent="0.25">
      <c r="A181" s="108">
        <f>Données!A181</f>
        <v>5711</v>
      </c>
      <c r="B181" s="109" t="str">
        <f>Données!B181</f>
        <v>Commugny</v>
      </c>
      <c r="C181" s="304">
        <f>Données!C181</f>
        <v>2968</v>
      </c>
      <c r="D181" s="300">
        <f t="shared" si="26"/>
        <v>1000</v>
      </c>
      <c r="E181" s="300">
        <f t="shared" si="35"/>
        <v>1968</v>
      </c>
      <c r="F181" s="305">
        <f t="shared" si="35"/>
        <v>0</v>
      </c>
      <c r="G181" s="299">
        <f t="shared" si="35"/>
        <v>0</v>
      </c>
      <c r="H181" s="300">
        <f t="shared" si="35"/>
        <v>0</v>
      </c>
      <c r="I181" s="305">
        <f t="shared" si="35"/>
        <v>0</v>
      </c>
      <c r="J181" s="305">
        <f t="shared" si="35"/>
        <v>0</v>
      </c>
      <c r="K181" s="306">
        <f t="shared" si="27"/>
        <v>0</v>
      </c>
      <c r="L181" s="305">
        <f t="shared" si="28"/>
        <v>7904</v>
      </c>
      <c r="M181" s="431">
        <f>Données!AE181</f>
        <v>0</v>
      </c>
      <c r="N181" s="433">
        <v>0</v>
      </c>
      <c r="O181" s="300">
        <f t="shared" si="25"/>
        <v>2968</v>
      </c>
      <c r="P181" s="305">
        <f t="shared" si="29"/>
        <v>7904</v>
      </c>
      <c r="Q181" s="306">
        <f t="shared" si="31"/>
        <v>91970.546354310092</v>
      </c>
      <c r="R181" s="305">
        <f t="shared" si="32"/>
        <v>201502.56403933626</v>
      </c>
      <c r="S181" s="299">
        <f t="shared" si="33"/>
        <v>198295.13399492032</v>
      </c>
      <c r="T181" s="305">
        <f t="shared" si="34"/>
        <v>0</v>
      </c>
      <c r="U181" s="428">
        <f t="shared" si="30"/>
        <v>491768.2443885667</v>
      </c>
    </row>
    <row r="182" spans="1:21" x14ac:dyDescent="0.25">
      <c r="A182" s="108">
        <f>Données!A182</f>
        <v>5712</v>
      </c>
      <c r="B182" s="109" t="str">
        <f>Données!B182</f>
        <v>Coppet</v>
      </c>
      <c r="C182" s="304">
        <f>Données!C182</f>
        <v>3233</v>
      </c>
      <c r="D182" s="300">
        <f t="shared" si="26"/>
        <v>1000</v>
      </c>
      <c r="E182" s="300">
        <f t="shared" si="35"/>
        <v>2000</v>
      </c>
      <c r="F182" s="305">
        <f t="shared" si="35"/>
        <v>233</v>
      </c>
      <c r="G182" s="299">
        <f t="shared" si="35"/>
        <v>0</v>
      </c>
      <c r="H182" s="300">
        <f t="shared" si="35"/>
        <v>0</v>
      </c>
      <c r="I182" s="305">
        <f t="shared" si="35"/>
        <v>0</v>
      </c>
      <c r="J182" s="305">
        <f t="shared" si="35"/>
        <v>0</v>
      </c>
      <c r="K182" s="306">
        <f t="shared" si="27"/>
        <v>0</v>
      </c>
      <c r="L182" s="305">
        <f t="shared" si="28"/>
        <v>8815.5</v>
      </c>
      <c r="M182" s="431">
        <f>Données!AE182</f>
        <v>0</v>
      </c>
      <c r="N182" s="433">
        <v>0</v>
      </c>
      <c r="O182" s="300">
        <f t="shared" si="25"/>
        <v>3233</v>
      </c>
      <c r="P182" s="305">
        <f t="shared" si="29"/>
        <v>8815.5</v>
      </c>
      <c r="Q182" s="306">
        <f t="shared" si="31"/>
        <v>100182.20227880207</v>
      </c>
      <c r="R182" s="305">
        <f t="shared" si="32"/>
        <v>219493.86439999129</v>
      </c>
      <c r="S182" s="299">
        <f t="shared" si="33"/>
        <v>221162.79779000761</v>
      </c>
      <c r="T182" s="305">
        <f t="shared" si="34"/>
        <v>0</v>
      </c>
      <c r="U182" s="428">
        <f t="shared" si="30"/>
        <v>540838.86446880095</v>
      </c>
    </row>
    <row r="183" spans="1:21" x14ac:dyDescent="0.25">
      <c r="A183" s="108">
        <f>Données!A183</f>
        <v>5713</v>
      </c>
      <c r="B183" s="109" t="str">
        <f>Données!B183</f>
        <v>Crans</v>
      </c>
      <c r="C183" s="304">
        <f>Données!C183</f>
        <v>2483</v>
      </c>
      <c r="D183" s="300">
        <f t="shared" si="26"/>
        <v>1000</v>
      </c>
      <c r="E183" s="300">
        <f t="shared" si="35"/>
        <v>1483</v>
      </c>
      <c r="F183" s="305">
        <f t="shared" si="35"/>
        <v>0</v>
      </c>
      <c r="G183" s="299">
        <f t="shared" si="35"/>
        <v>0</v>
      </c>
      <c r="H183" s="300">
        <f t="shared" si="35"/>
        <v>0</v>
      </c>
      <c r="I183" s="305">
        <f t="shared" si="35"/>
        <v>0</v>
      </c>
      <c r="J183" s="305">
        <f t="shared" si="35"/>
        <v>0</v>
      </c>
      <c r="K183" s="306">
        <f t="shared" si="27"/>
        <v>0</v>
      </c>
      <c r="L183" s="305">
        <f t="shared" si="28"/>
        <v>6449</v>
      </c>
      <c r="M183" s="431">
        <f>Données!AE183</f>
        <v>1</v>
      </c>
      <c r="N183" s="433">
        <v>1</v>
      </c>
      <c r="O183" s="300">
        <f t="shared" si="25"/>
        <v>0</v>
      </c>
      <c r="P183" s="305">
        <f t="shared" si="29"/>
        <v>0</v>
      </c>
      <c r="Q183" s="306">
        <f t="shared" si="31"/>
        <v>76941.666643447432</v>
      </c>
      <c r="R183" s="305">
        <f t="shared" si="32"/>
        <v>0</v>
      </c>
      <c r="S183" s="299">
        <f t="shared" si="33"/>
        <v>0</v>
      </c>
      <c r="T183" s="305">
        <f t="shared" si="34"/>
        <v>0</v>
      </c>
      <c r="U183" s="428">
        <f t="shared" si="30"/>
        <v>76941.666643447432</v>
      </c>
    </row>
    <row r="184" spans="1:21" x14ac:dyDescent="0.25">
      <c r="A184" s="108">
        <f>Données!A184</f>
        <v>5714</v>
      </c>
      <c r="B184" s="109" t="str">
        <f>Données!B184</f>
        <v>Crassier</v>
      </c>
      <c r="C184" s="304">
        <f>Données!C184</f>
        <v>1272</v>
      </c>
      <c r="D184" s="300">
        <f t="shared" si="26"/>
        <v>1000</v>
      </c>
      <c r="E184" s="300">
        <f t="shared" si="35"/>
        <v>272</v>
      </c>
      <c r="F184" s="305">
        <f t="shared" si="35"/>
        <v>0</v>
      </c>
      <c r="G184" s="299">
        <f t="shared" si="35"/>
        <v>0</v>
      </c>
      <c r="H184" s="300">
        <f t="shared" si="35"/>
        <v>0</v>
      </c>
      <c r="I184" s="305">
        <f t="shared" si="35"/>
        <v>0</v>
      </c>
      <c r="J184" s="305">
        <f t="shared" si="35"/>
        <v>0</v>
      </c>
      <c r="K184" s="306">
        <f t="shared" si="27"/>
        <v>0</v>
      </c>
      <c r="L184" s="305">
        <f t="shared" si="28"/>
        <v>2816</v>
      </c>
      <c r="M184" s="431">
        <f>Données!AE184</f>
        <v>0</v>
      </c>
      <c r="N184" s="433">
        <v>0</v>
      </c>
      <c r="O184" s="300">
        <f t="shared" si="25"/>
        <v>1272</v>
      </c>
      <c r="P184" s="305">
        <f t="shared" si="29"/>
        <v>2816</v>
      </c>
      <c r="Q184" s="306">
        <f t="shared" si="31"/>
        <v>39415.94843756147</v>
      </c>
      <c r="R184" s="305">
        <f t="shared" si="32"/>
        <v>86358.24173114411</v>
      </c>
      <c r="S184" s="299">
        <f t="shared" si="33"/>
        <v>70647.659075113319</v>
      </c>
      <c r="T184" s="305">
        <f t="shared" si="34"/>
        <v>0</v>
      </c>
      <c r="U184" s="428">
        <f t="shared" si="30"/>
        <v>196421.8492438189</v>
      </c>
    </row>
    <row r="185" spans="1:21" x14ac:dyDescent="0.25">
      <c r="A185" s="108">
        <f>Données!A185</f>
        <v>5715</v>
      </c>
      <c r="B185" s="109" t="str">
        <f>Données!B185</f>
        <v>Duillier</v>
      </c>
      <c r="C185" s="304">
        <f>Données!C185</f>
        <v>1120</v>
      </c>
      <c r="D185" s="300">
        <f t="shared" si="26"/>
        <v>1000</v>
      </c>
      <c r="E185" s="300">
        <f t="shared" si="35"/>
        <v>120</v>
      </c>
      <c r="F185" s="305">
        <f t="shared" si="35"/>
        <v>0</v>
      </c>
      <c r="G185" s="299">
        <f t="shared" si="35"/>
        <v>0</v>
      </c>
      <c r="H185" s="300">
        <f t="shared" si="35"/>
        <v>0</v>
      </c>
      <c r="I185" s="305">
        <f t="shared" si="35"/>
        <v>0</v>
      </c>
      <c r="J185" s="305">
        <f t="shared" si="35"/>
        <v>0</v>
      </c>
      <c r="K185" s="306">
        <f t="shared" si="27"/>
        <v>0</v>
      </c>
      <c r="L185" s="305">
        <f t="shared" si="28"/>
        <v>2360</v>
      </c>
      <c r="M185" s="431">
        <f>Données!AE185</f>
        <v>0</v>
      </c>
      <c r="N185" s="433">
        <v>0</v>
      </c>
      <c r="O185" s="300">
        <f t="shared" si="25"/>
        <v>1120</v>
      </c>
      <c r="P185" s="305">
        <f t="shared" si="29"/>
        <v>2360</v>
      </c>
      <c r="Q185" s="306">
        <f t="shared" si="31"/>
        <v>34705.866548796264</v>
      </c>
      <c r="R185" s="305">
        <f t="shared" si="32"/>
        <v>76038.703411070281</v>
      </c>
      <c r="S185" s="299">
        <f t="shared" si="33"/>
        <v>59207.55519079099</v>
      </c>
      <c r="T185" s="305">
        <f t="shared" si="34"/>
        <v>0</v>
      </c>
      <c r="U185" s="428">
        <f t="shared" si="30"/>
        <v>169952.12515065755</v>
      </c>
    </row>
    <row r="186" spans="1:21" x14ac:dyDescent="0.25">
      <c r="A186" s="108">
        <f>Données!A186</f>
        <v>5716</v>
      </c>
      <c r="B186" s="109" t="str">
        <f>Données!B186</f>
        <v>Eysins</v>
      </c>
      <c r="C186" s="304">
        <f>Données!C186</f>
        <v>1811</v>
      </c>
      <c r="D186" s="300">
        <f t="shared" si="26"/>
        <v>1000</v>
      </c>
      <c r="E186" s="300">
        <f t="shared" si="35"/>
        <v>811</v>
      </c>
      <c r="F186" s="305">
        <f t="shared" si="35"/>
        <v>0</v>
      </c>
      <c r="G186" s="299">
        <f t="shared" si="35"/>
        <v>0</v>
      </c>
      <c r="H186" s="300">
        <f t="shared" si="35"/>
        <v>0</v>
      </c>
      <c r="I186" s="305">
        <f t="shared" si="35"/>
        <v>0</v>
      </c>
      <c r="J186" s="305">
        <f t="shared" si="35"/>
        <v>0</v>
      </c>
      <c r="K186" s="306">
        <f t="shared" si="27"/>
        <v>0</v>
      </c>
      <c r="L186" s="305">
        <f t="shared" si="28"/>
        <v>4433</v>
      </c>
      <c r="M186" s="431">
        <f>Données!AE186</f>
        <v>0</v>
      </c>
      <c r="N186" s="433">
        <v>0</v>
      </c>
      <c r="O186" s="300">
        <f t="shared" si="25"/>
        <v>1811</v>
      </c>
      <c r="P186" s="305">
        <f t="shared" si="29"/>
        <v>4433</v>
      </c>
      <c r="Q186" s="306">
        <f t="shared" si="31"/>
        <v>56118.14671416967</v>
      </c>
      <c r="R186" s="305">
        <f t="shared" si="32"/>
        <v>122951.86774772168</v>
      </c>
      <c r="S186" s="299">
        <f t="shared" si="33"/>
        <v>111214.86955965104</v>
      </c>
      <c r="T186" s="305">
        <f t="shared" si="34"/>
        <v>0</v>
      </c>
      <c r="U186" s="428">
        <f t="shared" si="30"/>
        <v>290284.88402154238</v>
      </c>
    </row>
    <row r="187" spans="1:21" x14ac:dyDescent="0.25">
      <c r="A187" s="108">
        <f>Données!A187</f>
        <v>5717</v>
      </c>
      <c r="B187" s="109" t="str">
        <f>Données!B187</f>
        <v>Founex</v>
      </c>
      <c r="C187" s="304">
        <f>Données!C187</f>
        <v>3737</v>
      </c>
      <c r="D187" s="300">
        <f t="shared" si="26"/>
        <v>1000</v>
      </c>
      <c r="E187" s="300">
        <f t="shared" si="35"/>
        <v>2000</v>
      </c>
      <c r="F187" s="305">
        <f t="shared" si="35"/>
        <v>737</v>
      </c>
      <c r="G187" s="299">
        <f t="shared" si="35"/>
        <v>0</v>
      </c>
      <c r="H187" s="300">
        <f t="shared" si="35"/>
        <v>0</v>
      </c>
      <c r="I187" s="305">
        <f t="shared" si="35"/>
        <v>0</v>
      </c>
      <c r="J187" s="305">
        <f t="shared" si="35"/>
        <v>0</v>
      </c>
      <c r="K187" s="306">
        <f t="shared" si="27"/>
        <v>0</v>
      </c>
      <c r="L187" s="305">
        <f t="shared" si="28"/>
        <v>10579.5</v>
      </c>
      <c r="M187" s="431">
        <f>Données!AE187</f>
        <v>0</v>
      </c>
      <c r="N187" s="433">
        <v>0</v>
      </c>
      <c r="O187" s="300">
        <f t="shared" si="25"/>
        <v>3737</v>
      </c>
      <c r="P187" s="305">
        <f t="shared" si="29"/>
        <v>10579.5</v>
      </c>
      <c r="Q187" s="306">
        <f t="shared" si="31"/>
        <v>115799.84222576038</v>
      </c>
      <c r="R187" s="305">
        <f t="shared" si="32"/>
        <v>253711.28093497289</v>
      </c>
      <c r="S187" s="299">
        <f t="shared" si="33"/>
        <v>265417.93650041241</v>
      </c>
      <c r="T187" s="305">
        <f t="shared" si="34"/>
        <v>0</v>
      </c>
      <c r="U187" s="428">
        <f t="shared" si="30"/>
        <v>634929.05966114567</v>
      </c>
    </row>
    <row r="188" spans="1:21" x14ac:dyDescent="0.25">
      <c r="A188" s="108">
        <f>Données!A188</f>
        <v>5718</v>
      </c>
      <c r="B188" s="109" t="str">
        <f>Données!B188</f>
        <v>Genolier</v>
      </c>
      <c r="C188" s="304">
        <f>Données!C188</f>
        <v>2071</v>
      </c>
      <c r="D188" s="300">
        <f t="shared" si="26"/>
        <v>1000</v>
      </c>
      <c r="E188" s="300">
        <f t="shared" si="35"/>
        <v>1071</v>
      </c>
      <c r="F188" s="305">
        <f t="shared" si="35"/>
        <v>0</v>
      </c>
      <c r="G188" s="299">
        <f t="shared" si="35"/>
        <v>0</v>
      </c>
      <c r="H188" s="300">
        <f t="shared" si="35"/>
        <v>0</v>
      </c>
      <c r="I188" s="305">
        <f t="shared" si="35"/>
        <v>0</v>
      </c>
      <c r="J188" s="305">
        <f t="shared" si="35"/>
        <v>0</v>
      </c>
      <c r="K188" s="306">
        <f t="shared" si="27"/>
        <v>0</v>
      </c>
      <c r="L188" s="305">
        <f t="shared" si="28"/>
        <v>5213</v>
      </c>
      <c r="M188" s="431">
        <f>Données!AE188</f>
        <v>0</v>
      </c>
      <c r="N188" s="433">
        <v>0</v>
      </c>
      <c r="O188" s="300">
        <f t="shared" si="25"/>
        <v>2071</v>
      </c>
      <c r="P188" s="305">
        <f t="shared" si="29"/>
        <v>5213</v>
      </c>
      <c r="Q188" s="306">
        <f t="shared" si="31"/>
        <v>64174.865734425948</v>
      </c>
      <c r="R188" s="305">
        <f t="shared" si="32"/>
        <v>140603.70961100585</v>
      </c>
      <c r="S188" s="299">
        <f t="shared" si="33"/>
        <v>130783.46830914976</v>
      </c>
      <c r="T188" s="305">
        <f t="shared" si="34"/>
        <v>0</v>
      </c>
      <c r="U188" s="428">
        <f t="shared" si="30"/>
        <v>335562.04365458153</v>
      </c>
    </row>
    <row r="189" spans="1:21" x14ac:dyDescent="0.25">
      <c r="A189" s="108">
        <f>Données!A189</f>
        <v>5719</v>
      </c>
      <c r="B189" s="109" t="str">
        <f>Données!B189</f>
        <v>Gingins</v>
      </c>
      <c r="C189" s="304">
        <f>Données!C189</f>
        <v>1241</v>
      </c>
      <c r="D189" s="300">
        <f t="shared" si="26"/>
        <v>1000</v>
      </c>
      <c r="E189" s="300">
        <f t="shared" si="35"/>
        <v>241</v>
      </c>
      <c r="F189" s="305">
        <f t="shared" si="35"/>
        <v>0</v>
      </c>
      <c r="G189" s="299">
        <f t="shared" si="35"/>
        <v>0</v>
      </c>
      <c r="H189" s="300">
        <f t="shared" si="35"/>
        <v>0</v>
      </c>
      <c r="I189" s="305">
        <f t="shared" si="35"/>
        <v>0</v>
      </c>
      <c r="J189" s="305">
        <f t="shared" si="35"/>
        <v>0</v>
      </c>
      <c r="K189" s="306">
        <f t="shared" si="27"/>
        <v>0</v>
      </c>
      <c r="L189" s="305">
        <f t="shared" si="28"/>
        <v>2723</v>
      </c>
      <c r="M189" s="431">
        <f>Données!AE189</f>
        <v>0</v>
      </c>
      <c r="N189" s="433">
        <v>0</v>
      </c>
      <c r="O189" s="300">
        <f t="shared" si="25"/>
        <v>1241</v>
      </c>
      <c r="P189" s="305">
        <f t="shared" si="29"/>
        <v>2723</v>
      </c>
      <c r="Q189" s="306">
        <f t="shared" si="31"/>
        <v>38455.339631300143</v>
      </c>
      <c r="R189" s="305">
        <f t="shared" si="32"/>
        <v>84253.599047444848</v>
      </c>
      <c r="S189" s="299">
        <f t="shared" si="33"/>
        <v>68314.479993442306</v>
      </c>
      <c r="T189" s="305">
        <f t="shared" si="34"/>
        <v>0</v>
      </c>
      <c r="U189" s="428">
        <f t="shared" si="30"/>
        <v>191023.41867218731</v>
      </c>
    </row>
    <row r="190" spans="1:21" x14ac:dyDescent="0.25">
      <c r="A190" s="108">
        <f>Données!A190</f>
        <v>5720</v>
      </c>
      <c r="B190" s="109" t="str">
        <f>Données!B190</f>
        <v>Givrins</v>
      </c>
      <c r="C190" s="304">
        <f>Données!C190</f>
        <v>1096</v>
      </c>
      <c r="D190" s="300">
        <f t="shared" si="26"/>
        <v>1000</v>
      </c>
      <c r="E190" s="300">
        <f t="shared" si="35"/>
        <v>96</v>
      </c>
      <c r="F190" s="305">
        <f t="shared" si="35"/>
        <v>0</v>
      </c>
      <c r="G190" s="299">
        <f t="shared" si="35"/>
        <v>0</v>
      </c>
      <c r="H190" s="300">
        <f t="shared" si="35"/>
        <v>0</v>
      </c>
      <c r="I190" s="305">
        <f t="shared" si="35"/>
        <v>0</v>
      </c>
      <c r="J190" s="305">
        <f t="shared" si="35"/>
        <v>0</v>
      </c>
      <c r="K190" s="306">
        <f t="shared" si="27"/>
        <v>0</v>
      </c>
      <c r="L190" s="305">
        <f t="shared" si="28"/>
        <v>2288</v>
      </c>
      <c r="M190" s="431">
        <f>Données!AE190</f>
        <v>0</v>
      </c>
      <c r="N190" s="433">
        <v>0</v>
      </c>
      <c r="O190" s="300">
        <f t="shared" si="25"/>
        <v>1096</v>
      </c>
      <c r="P190" s="305">
        <f t="shared" si="29"/>
        <v>2288</v>
      </c>
      <c r="Q190" s="306">
        <f t="shared" si="31"/>
        <v>33962.169408464913</v>
      </c>
      <c r="R190" s="305">
        <f t="shared" si="32"/>
        <v>74409.302623690208</v>
      </c>
      <c r="S190" s="299">
        <f t="shared" si="33"/>
        <v>57401.222998529571</v>
      </c>
      <c r="T190" s="305">
        <f t="shared" si="34"/>
        <v>0</v>
      </c>
      <c r="U190" s="428">
        <f t="shared" si="30"/>
        <v>165772.6950306847</v>
      </c>
    </row>
    <row r="191" spans="1:21" x14ac:dyDescent="0.25">
      <c r="A191" s="108">
        <f>Données!A191</f>
        <v>5721</v>
      </c>
      <c r="B191" s="109" t="str">
        <f>Données!B191</f>
        <v>Gland</v>
      </c>
      <c r="C191" s="304">
        <f>Données!C191</f>
        <v>13978</v>
      </c>
      <c r="D191" s="300">
        <f t="shared" si="26"/>
        <v>1000</v>
      </c>
      <c r="E191" s="300">
        <f t="shared" ref="E191:J233" si="36">IF($C191&lt;E$4,0,IF($C191&gt;E$5,E$5-E$4,$C191-E$4))</f>
        <v>2000</v>
      </c>
      <c r="F191" s="305">
        <f t="shared" si="36"/>
        <v>2000</v>
      </c>
      <c r="G191" s="299">
        <f t="shared" si="36"/>
        <v>7000</v>
      </c>
      <c r="H191" s="300">
        <f t="shared" si="36"/>
        <v>1978</v>
      </c>
      <c r="I191" s="305">
        <f t="shared" si="36"/>
        <v>0</v>
      </c>
      <c r="J191" s="305">
        <f t="shared" si="36"/>
        <v>0</v>
      </c>
      <c r="K191" s="306">
        <f t="shared" si="27"/>
        <v>0</v>
      </c>
      <c r="L191" s="305">
        <f t="shared" si="28"/>
        <v>52890</v>
      </c>
      <c r="M191" s="431">
        <f>Données!AE191</f>
        <v>0</v>
      </c>
      <c r="N191" s="433">
        <v>0</v>
      </c>
      <c r="O191" s="300">
        <f t="shared" si="25"/>
        <v>13978</v>
      </c>
      <c r="P191" s="305">
        <f t="shared" si="29"/>
        <v>52890</v>
      </c>
      <c r="Q191" s="306">
        <f t="shared" si="31"/>
        <v>433141.60948131618</v>
      </c>
      <c r="R191" s="305">
        <f t="shared" si="32"/>
        <v>948990.17524994677</v>
      </c>
      <c r="S191" s="299">
        <f t="shared" si="33"/>
        <v>1326901.5228987015</v>
      </c>
      <c r="T191" s="305">
        <f t="shared" si="34"/>
        <v>0</v>
      </c>
      <c r="U191" s="428">
        <f t="shared" si="30"/>
        <v>2709033.3076299643</v>
      </c>
    </row>
    <row r="192" spans="1:21" x14ac:dyDescent="0.25">
      <c r="A192" s="108">
        <f>Données!A192</f>
        <v>5722</v>
      </c>
      <c r="B192" s="109" t="str">
        <f>Données!B192</f>
        <v>Grens</v>
      </c>
      <c r="C192" s="304">
        <f>Données!C192</f>
        <v>413</v>
      </c>
      <c r="D192" s="300">
        <f t="shared" si="26"/>
        <v>413</v>
      </c>
      <c r="E192" s="300">
        <f t="shared" si="36"/>
        <v>0</v>
      </c>
      <c r="F192" s="305">
        <f t="shared" si="36"/>
        <v>0</v>
      </c>
      <c r="G192" s="299">
        <f t="shared" si="36"/>
        <v>0</v>
      </c>
      <c r="H192" s="300">
        <f t="shared" si="36"/>
        <v>0</v>
      </c>
      <c r="I192" s="305">
        <f t="shared" si="36"/>
        <v>0</v>
      </c>
      <c r="J192" s="305">
        <f t="shared" si="36"/>
        <v>0</v>
      </c>
      <c r="K192" s="306">
        <f t="shared" si="27"/>
        <v>0</v>
      </c>
      <c r="L192" s="305">
        <f t="shared" si="28"/>
        <v>826</v>
      </c>
      <c r="M192" s="431">
        <f>Données!AE192</f>
        <v>0</v>
      </c>
      <c r="N192" s="433">
        <v>0</v>
      </c>
      <c r="O192" s="300">
        <f t="shared" si="25"/>
        <v>413</v>
      </c>
      <c r="P192" s="305">
        <f t="shared" si="29"/>
        <v>826</v>
      </c>
      <c r="Q192" s="306">
        <f t="shared" si="31"/>
        <v>12797.788289868622</v>
      </c>
      <c r="R192" s="305">
        <f t="shared" si="32"/>
        <v>28039.271882832167</v>
      </c>
      <c r="S192" s="299">
        <f t="shared" si="33"/>
        <v>20722.644316776845</v>
      </c>
      <c r="T192" s="305">
        <f t="shared" si="34"/>
        <v>0</v>
      </c>
      <c r="U192" s="428">
        <f t="shared" si="30"/>
        <v>61559.704489477634</v>
      </c>
    </row>
    <row r="193" spans="1:21" x14ac:dyDescent="0.25">
      <c r="A193" s="108">
        <f>Données!A193</f>
        <v>5723</v>
      </c>
      <c r="B193" s="109" t="str">
        <f>Données!B193</f>
        <v>Mies</v>
      </c>
      <c r="C193" s="304">
        <f>Données!C193</f>
        <v>2194</v>
      </c>
      <c r="D193" s="300">
        <f t="shared" si="26"/>
        <v>1000</v>
      </c>
      <c r="E193" s="300">
        <f t="shared" si="36"/>
        <v>1194</v>
      </c>
      <c r="F193" s="305">
        <f t="shared" si="36"/>
        <v>0</v>
      </c>
      <c r="G193" s="299">
        <f t="shared" si="36"/>
        <v>0</v>
      </c>
      <c r="H193" s="300">
        <f t="shared" si="36"/>
        <v>0</v>
      </c>
      <c r="I193" s="305">
        <f t="shared" si="36"/>
        <v>0</v>
      </c>
      <c r="J193" s="305">
        <f t="shared" si="36"/>
        <v>0</v>
      </c>
      <c r="K193" s="306">
        <f t="shared" si="27"/>
        <v>0</v>
      </c>
      <c r="L193" s="305">
        <f t="shared" si="28"/>
        <v>5582</v>
      </c>
      <c r="M193" s="431">
        <f>Données!AE193</f>
        <v>0</v>
      </c>
      <c r="N193" s="433">
        <v>0</v>
      </c>
      <c r="O193" s="300">
        <f t="shared" si="25"/>
        <v>2194</v>
      </c>
      <c r="P193" s="305">
        <f t="shared" si="29"/>
        <v>5582</v>
      </c>
      <c r="Q193" s="306">
        <f t="shared" si="31"/>
        <v>67986.313578624104</v>
      </c>
      <c r="R193" s="305">
        <f t="shared" si="32"/>
        <v>148954.38864632876</v>
      </c>
      <c r="S193" s="299">
        <f t="shared" si="33"/>
        <v>140040.92079448953</v>
      </c>
      <c r="T193" s="305">
        <f t="shared" si="34"/>
        <v>0</v>
      </c>
      <c r="U193" s="428">
        <f t="shared" si="30"/>
        <v>356981.62301944243</v>
      </c>
    </row>
    <row r="194" spans="1:21" x14ac:dyDescent="0.25">
      <c r="A194" s="108">
        <f>Données!A194</f>
        <v>5724</v>
      </c>
      <c r="B194" s="109" t="str">
        <f>Données!B194</f>
        <v>Nyon</v>
      </c>
      <c r="C194" s="304">
        <f>Données!C194</f>
        <v>23732</v>
      </c>
      <c r="D194" s="300">
        <f t="shared" si="26"/>
        <v>1000</v>
      </c>
      <c r="E194" s="300">
        <f t="shared" si="36"/>
        <v>2000</v>
      </c>
      <c r="F194" s="305">
        <f t="shared" si="36"/>
        <v>2000</v>
      </c>
      <c r="G194" s="299">
        <f t="shared" si="36"/>
        <v>7000</v>
      </c>
      <c r="H194" s="300">
        <f t="shared" si="36"/>
        <v>3000</v>
      </c>
      <c r="I194" s="305">
        <f t="shared" si="36"/>
        <v>8732</v>
      </c>
      <c r="J194" s="305">
        <f t="shared" si="36"/>
        <v>0</v>
      </c>
      <c r="K194" s="306">
        <f t="shared" si="27"/>
        <v>0</v>
      </c>
      <c r="L194" s="305">
        <f t="shared" si="28"/>
        <v>110392</v>
      </c>
      <c r="M194" s="431">
        <f>Données!AE194</f>
        <v>1</v>
      </c>
      <c r="N194" s="433">
        <v>1</v>
      </c>
      <c r="O194" s="300">
        <f t="shared" si="25"/>
        <v>0</v>
      </c>
      <c r="P194" s="305">
        <f t="shared" si="29"/>
        <v>0</v>
      </c>
      <c r="Q194" s="306">
        <f t="shared" si="31"/>
        <v>735392.52226431505</v>
      </c>
      <c r="R194" s="305">
        <f t="shared" si="32"/>
        <v>0</v>
      </c>
      <c r="S194" s="299">
        <f t="shared" si="33"/>
        <v>0</v>
      </c>
      <c r="T194" s="305">
        <f t="shared" si="34"/>
        <v>0</v>
      </c>
      <c r="U194" s="428">
        <f t="shared" si="30"/>
        <v>735392.52226431505</v>
      </c>
    </row>
    <row r="195" spans="1:21" x14ac:dyDescent="0.25">
      <c r="A195" s="108">
        <f>Données!A195</f>
        <v>5725</v>
      </c>
      <c r="B195" s="109" t="str">
        <f>Données!B195</f>
        <v>Prangins</v>
      </c>
      <c r="C195" s="304">
        <f>Données!C195</f>
        <v>4243</v>
      </c>
      <c r="D195" s="300">
        <f t="shared" si="26"/>
        <v>1000</v>
      </c>
      <c r="E195" s="300">
        <f t="shared" si="36"/>
        <v>2000</v>
      </c>
      <c r="F195" s="305">
        <f t="shared" si="36"/>
        <v>1243</v>
      </c>
      <c r="G195" s="299">
        <f t="shared" si="36"/>
        <v>0</v>
      </c>
      <c r="H195" s="300">
        <f t="shared" si="36"/>
        <v>0</v>
      </c>
      <c r="I195" s="305">
        <f t="shared" si="36"/>
        <v>0</v>
      </c>
      <c r="J195" s="305">
        <f t="shared" si="36"/>
        <v>0</v>
      </c>
      <c r="K195" s="306">
        <f t="shared" si="27"/>
        <v>0</v>
      </c>
      <c r="L195" s="305">
        <f t="shared" si="28"/>
        <v>12350.5</v>
      </c>
      <c r="M195" s="431">
        <f>Données!AE195</f>
        <v>1</v>
      </c>
      <c r="N195" s="433">
        <v>1</v>
      </c>
      <c r="O195" s="300">
        <f t="shared" si="25"/>
        <v>0</v>
      </c>
      <c r="P195" s="305">
        <f t="shared" si="29"/>
        <v>0</v>
      </c>
      <c r="Q195" s="306">
        <f t="shared" si="31"/>
        <v>131479.45693441297</v>
      </c>
      <c r="R195" s="305">
        <f t="shared" si="32"/>
        <v>0</v>
      </c>
      <c r="S195" s="299">
        <f t="shared" si="33"/>
        <v>0</v>
      </c>
      <c r="T195" s="305">
        <f t="shared" si="34"/>
        <v>0</v>
      </c>
      <c r="U195" s="428">
        <f t="shared" si="30"/>
        <v>131479.45693441297</v>
      </c>
    </row>
    <row r="196" spans="1:21" x14ac:dyDescent="0.25">
      <c r="A196" s="108">
        <f>Données!A196</f>
        <v>5726</v>
      </c>
      <c r="B196" s="109" t="str">
        <f>Données!B196</f>
        <v>La Rippe</v>
      </c>
      <c r="C196" s="304">
        <f>Données!C196</f>
        <v>1218</v>
      </c>
      <c r="D196" s="300">
        <f t="shared" si="26"/>
        <v>1000</v>
      </c>
      <c r="E196" s="300">
        <f t="shared" si="36"/>
        <v>218</v>
      </c>
      <c r="F196" s="305">
        <f t="shared" si="36"/>
        <v>0</v>
      </c>
      <c r="G196" s="299">
        <f t="shared" si="36"/>
        <v>0</v>
      </c>
      <c r="H196" s="300">
        <f t="shared" si="36"/>
        <v>0</v>
      </c>
      <c r="I196" s="305">
        <f t="shared" si="36"/>
        <v>0</v>
      </c>
      <c r="J196" s="305">
        <f t="shared" si="36"/>
        <v>0</v>
      </c>
      <c r="K196" s="306">
        <f t="shared" si="27"/>
        <v>0</v>
      </c>
      <c r="L196" s="305">
        <f t="shared" si="28"/>
        <v>2654</v>
      </c>
      <c r="M196" s="431">
        <f>Données!AE196</f>
        <v>0</v>
      </c>
      <c r="N196" s="433">
        <v>0</v>
      </c>
      <c r="O196" s="300">
        <f t="shared" si="25"/>
        <v>1218</v>
      </c>
      <c r="P196" s="305">
        <f t="shared" si="29"/>
        <v>2654</v>
      </c>
      <c r="Q196" s="306">
        <f t="shared" si="31"/>
        <v>37742.629871815938</v>
      </c>
      <c r="R196" s="305">
        <f t="shared" si="32"/>
        <v>82692.089959538935</v>
      </c>
      <c r="S196" s="299">
        <f t="shared" si="33"/>
        <v>66583.411642525112</v>
      </c>
      <c r="T196" s="305">
        <f t="shared" si="34"/>
        <v>0</v>
      </c>
      <c r="U196" s="428">
        <f t="shared" si="30"/>
        <v>187018.13147387997</v>
      </c>
    </row>
    <row r="197" spans="1:21" x14ac:dyDescent="0.25">
      <c r="A197" s="108">
        <f>Données!A197</f>
        <v>5727</v>
      </c>
      <c r="B197" s="109" t="str">
        <f>Données!B197</f>
        <v>Saint-Cergue</v>
      </c>
      <c r="C197" s="304">
        <f>Données!C197</f>
        <v>3057</v>
      </c>
      <c r="D197" s="300">
        <f t="shared" si="26"/>
        <v>1000</v>
      </c>
      <c r="E197" s="300">
        <f t="shared" si="36"/>
        <v>2000</v>
      </c>
      <c r="F197" s="305">
        <f t="shared" si="36"/>
        <v>57</v>
      </c>
      <c r="G197" s="299">
        <f t="shared" si="36"/>
        <v>0</v>
      </c>
      <c r="H197" s="300">
        <f t="shared" si="36"/>
        <v>0</v>
      </c>
      <c r="I197" s="305">
        <f t="shared" si="36"/>
        <v>0</v>
      </c>
      <c r="J197" s="305">
        <f t="shared" si="36"/>
        <v>0</v>
      </c>
      <c r="K197" s="306">
        <f t="shared" si="27"/>
        <v>0</v>
      </c>
      <c r="L197" s="305">
        <f t="shared" si="28"/>
        <v>8199.5</v>
      </c>
      <c r="M197" s="431">
        <f>Données!AE197</f>
        <v>0</v>
      </c>
      <c r="N197" s="433">
        <v>0</v>
      </c>
      <c r="O197" s="300">
        <f t="shared" ref="O197:O260" si="37">IF(N197=0,C197,0)</f>
        <v>3057</v>
      </c>
      <c r="P197" s="305">
        <f t="shared" si="29"/>
        <v>8199.5</v>
      </c>
      <c r="Q197" s="306">
        <f t="shared" si="31"/>
        <v>94728.423249705505</v>
      </c>
      <c r="R197" s="305">
        <f t="shared" si="32"/>
        <v>207544.92529253737</v>
      </c>
      <c r="S197" s="299">
        <f t="shared" si="33"/>
        <v>205708.62236732658</v>
      </c>
      <c r="T197" s="305">
        <f t="shared" si="34"/>
        <v>0</v>
      </c>
      <c r="U197" s="428">
        <f t="shared" si="30"/>
        <v>507981.97090956947</v>
      </c>
    </row>
    <row r="198" spans="1:21" x14ac:dyDescent="0.25">
      <c r="A198" s="108">
        <f>Données!A198</f>
        <v>5728</v>
      </c>
      <c r="B198" s="109" t="str">
        <f>Données!B198</f>
        <v>Signy-Avenex</v>
      </c>
      <c r="C198" s="304">
        <f>Données!C198</f>
        <v>586</v>
      </c>
      <c r="D198" s="300">
        <f t="shared" ref="D198:D261" si="38">IF(C198&gt;$D$5,$D$5-$D$4,C198)</f>
        <v>586</v>
      </c>
      <c r="E198" s="300">
        <f t="shared" si="36"/>
        <v>0</v>
      </c>
      <c r="F198" s="305">
        <f t="shared" si="36"/>
        <v>0</v>
      </c>
      <c r="G198" s="299">
        <f t="shared" si="36"/>
        <v>0</v>
      </c>
      <c r="H198" s="300">
        <f t="shared" si="36"/>
        <v>0</v>
      </c>
      <c r="I198" s="305">
        <f t="shared" si="36"/>
        <v>0</v>
      </c>
      <c r="J198" s="305">
        <f t="shared" si="36"/>
        <v>0</v>
      </c>
      <c r="K198" s="306">
        <f t="shared" ref="K198:K261" si="39">IF($C198&lt;K$4,0,$C198-K$4)</f>
        <v>0</v>
      </c>
      <c r="L198" s="305">
        <f t="shared" ref="L198:L261" si="40">SUMPRODUCT($D$6:$K$6,D198:K198)</f>
        <v>1172</v>
      </c>
      <c r="M198" s="431">
        <f>Données!AE198</f>
        <v>0.75</v>
      </c>
      <c r="N198" s="433">
        <v>0</v>
      </c>
      <c r="O198" s="300">
        <f t="shared" si="37"/>
        <v>586</v>
      </c>
      <c r="P198" s="305">
        <f t="shared" ref="P198:P261" si="41">IF(N198=0,L198,0)</f>
        <v>1172</v>
      </c>
      <c r="Q198" s="306">
        <f t="shared" si="31"/>
        <v>18158.60517642376</v>
      </c>
      <c r="R198" s="305">
        <f t="shared" si="32"/>
        <v>39784.535891863561</v>
      </c>
      <c r="S198" s="299">
        <f t="shared" si="33"/>
        <v>29403.074018477557</v>
      </c>
      <c r="T198" s="305">
        <f t="shared" si="34"/>
        <v>-51890.707432755844</v>
      </c>
      <c r="U198" s="428">
        <f t="shared" ref="U198:U261" si="42">SUM(Q198:T198)</f>
        <v>35455.507654009045</v>
      </c>
    </row>
    <row r="199" spans="1:21" x14ac:dyDescent="0.25">
      <c r="A199" s="108">
        <f>Données!A199</f>
        <v>5729</v>
      </c>
      <c r="B199" s="109" t="str">
        <f>Données!B199</f>
        <v>Tannay</v>
      </c>
      <c r="C199" s="304">
        <f>Données!C199</f>
        <v>1732</v>
      </c>
      <c r="D199" s="300">
        <f t="shared" si="38"/>
        <v>1000</v>
      </c>
      <c r="E199" s="300">
        <f t="shared" si="36"/>
        <v>732</v>
      </c>
      <c r="F199" s="305">
        <f t="shared" si="36"/>
        <v>0</v>
      </c>
      <c r="G199" s="299">
        <f t="shared" si="36"/>
        <v>0</v>
      </c>
      <c r="H199" s="300">
        <f t="shared" si="36"/>
        <v>0</v>
      </c>
      <c r="I199" s="305">
        <f t="shared" si="36"/>
        <v>0</v>
      </c>
      <c r="J199" s="305">
        <f t="shared" si="36"/>
        <v>0</v>
      </c>
      <c r="K199" s="306">
        <f t="shared" si="39"/>
        <v>0</v>
      </c>
      <c r="L199" s="305">
        <f t="shared" si="40"/>
        <v>4196</v>
      </c>
      <c r="M199" s="431">
        <f>Données!AE199</f>
        <v>0</v>
      </c>
      <c r="N199" s="433">
        <v>0</v>
      </c>
      <c r="O199" s="300">
        <f t="shared" si="37"/>
        <v>1732</v>
      </c>
      <c r="P199" s="305">
        <f t="shared" si="41"/>
        <v>4196</v>
      </c>
      <c r="Q199" s="306">
        <f t="shared" si="31"/>
        <v>53670.143627245649</v>
      </c>
      <c r="R199" s="305">
        <f t="shared" si="32"/>
        <v>117588.42348926226</v>
      </c>
      <c r="S199" s="299">
        <f t="shared" si="33"/>
        <v>105269.0260934572</v>
      </c>
      <c r="T199" s="305">
        <f t="shared" si="34"/>
        <v>0</v>
      </c>
      <c r="U199" s="428">
        <f t="shared" si="42"/>
        <v>276527.5932099651</v>
      </c>
    </row>
    <row r="200" spans="1:21" x14ac:dyDescent="0.25">
      <c r="A200" s="108">
        <f>Données!A200</f>
        <v>5730</v>
      </c>
      <c r="B200" s="109" t="str">
        <f>Données!B200</f>
        <v>Trélex</v>
      </c>
      <c r="C200" s="304">
        <f>Données!C200</f>
        <v>1427</v>
      </c>
      <c r="D200" s="300">
        <f t="shared" si="38"/>
        <v>1000</v>
      </c>
      <c r="E200" s="300">
        <f t="shared" si="36"/>
        <v>427</v>
      </c>
      <c r="F200" s="305">
        <f t="shared" si="36"/>
        <v>0</v>
      </c>
      <c r="G200" s="299">
        <f t="shared" si="36"/>
        <v>0</v>
      </c>
      <c r="H200" s="300">
        <f t="shared" si="36"/>
        <v>0</v>
      </c>
      <c r="I200" s="305">
        <f t="shared" si="36"/>
        <v>0</v>
      </c>
      <c r="J200" s="305">
        <f t="shared" si="36"/>
        <v>0</v>
      </c>
      <c r="K200" s="306">
        <f t="shared" si="39"/>
        <v>0</v>
      </c>
      <c r="L200" s="305">
        <f t="shared" si="40"/>
        <v>3281</v>
      </c>
      <c r="M200" s="431">
        <f>Données!AE200</f>
        <v>0</v>
      </c>
      <c r="N200" s="433">
        <v>0</v>
      </c>
      <c r="O200" s="300">
        <f t="shared" si="37"/>
        <v>1427</v>
      </c>
      <c r="P200" s="305">
        <f t="shared" si="41"/>
        <v>3281</v>
      </c>
      <c r="Q200" s="306">
        <f t="shared" ref="Q200:Q263" si="43">$Q$6/$C$302*C200</f>
        <v>44218.992468868091</v>
      </c>
      <c r="R200" s="305">
        <f t="shared" ref="R200:R263" si="44">$R$6/$O$302*O200</f>
        <v>96881.455149640446</v>
      </c>
      <c r="S200" s="299">
        <f t="shared" ref="S200:S263" si="45">$S$6/$P$302*P200</f>
        <v>82313.554483468324</v>
      </c>
      <c r="T200" s="305">
        <f t="shared" si="34"/>
        <v>0</v>
      </c>
      <c r="U200" s="428">
        <f t="shared" si="42"/>
        <v>223414.00210197686</v>
      </c>
    </row>
    <row r="201" spans="1:21" x14ac:dyDescent="0.25">
      <c r="A201" s="108">
        <f>Données!A201</f>
        <v>5731</v>
      </c>
      <c r="B201" s="109" t="str">
        <f>Données!B201</f>
        <v>Le Vaud</v>
      </c>
      <c r="C201" s="304">
        <f>Données!C201</f>
        <v>1374</v>
      </c>
      <c r="D201" s="300">
        <f t="shared" si="38"/>
        <v>1000</v>
      </c>
      <c r="E201" s="300">
        <f t="shared" si="36"/>
        <v>374</v>
      </c>
      <c r="F201" s="305">
        <f t="shared" si="36"/>
        <v>0</v>
      </c>
      <c r="G201" s="299">
        <f t="shared" si="36"/>
        <v>0</v>
      </c>
      <c r="H201" s="300">
        <f t="shared" si="36"/>
        <v>0</v>
      </c>
      <c r="I201" s="305">
        <f t="shared" si="36"/>
        <v>0</v>
      </c>
      <c r="J201" s="305">
        <f t="shared" si="36"/>
        <v>0</v>
      </c>
      <c r="K201" s="306">
        <f t="shared" si="39"/>
        <v>0</v>
      </c>
      <c r="L201" s="305">
        <f t="shared" si="40"/>
        <v>3122</v>
      </c>
      <c r="M201" s="431">
        <f>Données!AE201</f>
        <v>0</v>
      </c>
      <c r="N201" s="433">
        <v>0</v>
      </c>
      <c r="O201" s="300">
        <f t="shared" si="37"/>
        <v>1374</v>
      </c>
      <c r="P201" s="305">
        <f t="shared" si="41"/>
        <v>3122</v>
      </c>
      <c r="Q201" s="306">
        <f t="shared" si="43"/>
        <v>42576.661283969697</v>
      </c>
      <c r="R201" s="305">
        <f t="shared" si="44"/>
        <v>93283.195077509445</v>
      </c>
      <c r="S201" s="299">
        <f t="shared" si="45"/>
        <v>78324.57089222435</v>
      </c>
      <c r="T201" s="305">
        <f t="shared" ref="T201:T264" si="46">IF(M201&gt;N201,(-R201-S201)*(M201-N201),IF(M201&lt;N201,(C201*$R$305+L201*$S$305)*(N201-M201),IF(M201=N201,0,"Erreur")))</f>
        <v>0</v>
      </c>
      <c r="U201" s="428">
        <f t="shared" si="42"/>
        <v>214184.4272537035</v>
      </c>
    </row>
    <row r="202" spans="1:21" x14ac:dyDescent="0.25">
      <c r="A202" s="108">
        <f>Données!A202</f>
        <v>5732</v>
      </c>
      <c r="B202" s="109" t="str">
        <f>Données!B202</f>
        <v>Vich</v>
      </c>
      <c r="C202" s="304">
        <f>Données!C202</f>
        <v>1174</v>
      </c>
      <c r="D202" s="300">
        <f t="shared" si="38"/>
        <v>1000</v>
      </c>
      <c r="E202" s="300">
        <f t="shared" si="36"/>
        <v>174</v>
      </c>
      <c r="F202" s="305">
        <f t="shared" si="36"/>
        <v>0</v>
      </c>
      <c r="G202" s="299">
        <f t="shared" si="36"/>
        <v>0</v>
      </c>
      <c r="H202" s="300">
        <f t="shared" si="36"/>
        <v>0</v>
      </c>
      <c r="I202" s="305">
        <f t="shared" si="36"/>
        <v>0</v>
      </c>
      <c r="J202" s="305">
        <f t="shared" si="36"/>
        <v>0</v>
      </c>
      <c r="K202" s="306">
        <f t="shared" si="39"/>
        <v>0</v>
      </c>
      <c r="L202" s="305">
        <f t="shared" si="40"/>
        <v>2522</v>
      </c>
      <c r="M202" s="431">
        <f>Données!AE202</f>
        <v>0</v>
      </c>
      <c r="N202" s="433">
        <v>0</v>
      </c>
      <c r="O202" s="300">
        <f t="shared" si="37"/>
        <v>1174</v>
      </c>
      <c r="P202" s="305">
        <f t="shared" si="41"/>
        <v>2522</v>
      </c>
      <c r="Q202" s="306">
        <f t="shared" si="43"/>
        <v>36379.185114541797</v>
      </c>
      <c r="R202" s="305">
        <f t="shared" si="44"/>
        <v>79704.855182675456</v>
      </c>
      <c r="S202" s="299">
        <f t="shared" si="45"/>
        <v>63271.802623379182</v>
      </c>
      <c r="T202" s="305">
        <f t="shared" si="46"/>
        <v>0</v>
      </c>
      <c r="U202" s="428">
        <f t="shared" si="42"/>
        <v>179355.84292059645</v>
      </c>
    </row>
    <row r="203" spans="1:21" x14ac:dyDescent="0.25">
      <c r="A203" s="108">
        <f>Données!A203</f>
        <v>5741</v>
      </c>
      <c r="B203" s="109" t="str">
        <f>Données!B203</f>
        <v>L'Abergement</v>
      </c>
      <c r="C203" s="304">
        <f>Données!C203</f>
        <v>267</v>
      </c>
      <c r="D203" s="300">
        <f t="shared" si="38"/>
        <v>267</v>
      </c>
      <c r="E203" s="300">
        <f t="shared" si="36"/>
        <v>0</v>
      </c>
      <c r="F203" s="305">
        <f t="shared" si="36"/>
        <v>0</v>
      </c>
      <c r="G203" s="299">
        <f t="shared" si="36"/>
        <v>0</v>
      </c>
      <c r="H203" s="300">
        <f t="shared" si="36"/>
        <v>0</v>
      </c>
      <c r="I203" s="305">
        <f t="shared" si="36"/>
        <v>0</v>
      </c>
      <c r="J203" s="305">
        <f t="shared" si="36"/>
        <v>0</v>
      </c>
      <c r="K203" s="306">
        <f t="shared" si="39"/>
        <v>0</v>
      </c>
      <c r="L203" s="305">
        <f t="shared" si="40"/>
        <v>534</v>
      </c>
      <c r="M203" s="431">
        <f>Données!AE203</f>
        <v>0</v>
      </c>
      <c r="N203" s="433">
        <v>0</v>
      </c>
      <c r="O203" s="300">
        <f t="shared" si="37"/>
        <v>267</v>
      </c>
      <c r="P203" s="305">
        <f t="shared" si="41"/>
        <v>534</v>
      </c>
      <c r="Q203" s="306">
        <f t="shared" si="43"/>
        <v>8273.6306861862522</v>
      </c>
      <c r="R203" s="305">
        <f t="shared" si="44"/>
        <v>18127.083759603363</v>
      </c>
      <c r="S203" s="299">
        <f t="shared" si="45"/>
        <v>13396.963759272197</v>
      </c>
      <c r="T203" s="305">
        <f t="shared" si="46"/>
        <v>0</v>
      </c>
      <c r="U203" s="428">
        <f t="shared" si="42"/>
        <v>39797.678205061813</v>
      </c>
    </row>
    <row r="204" spans="1:21" x14ac:dyDescent="0.25">
      <c r="A204" s="108">
        <f>Données!A204</f>
        <v>5742</v>
      </c>
      <c r="B204" s="109" t="str">
        <f>Données!B204</f>
        <v>Agiez</v>
      </c>
      <c r="C204" s="304">
        <f>Données!C204</f>
        <v>382</v>
      </c>
      <c r="D204" s="300">
        <f t="shared" si="38"/>
        <v>382</v>
      </c>
      <c r="E204" s="300">
        <f t="shared" si="36"/>
        <v>0</v>
      </c>
      <c r="F204" s="305">
        <f t="shared" si="36"/>
        <v>0</v>
      </c>
      <c r="G204" s="299">
        <f t="shared" si="36"/>
        <v>0</v>
      </c>
      <c r="H204" s="300">
        <f t="shared" si="36"/>
        <v>0</v>
      </c>
      <c r="I204" s="305">
        <f t="shared" si="36"/>
        <v>0</v>
      </c>
      <c r="J204" s="305">
        <f t="shared" si="36"/>
        <v>0</v>
      </c>
      <c r="K204" s="306">
        <f t="shared" si="39"/>
        <v>0</v>
      </c>
      <c r="L204" s="305">
        <f t="shared" si="40"/>
        <v>764</v>
      </c>
      <c r="M204" s="431">
        <f>Données!AE204</f>
        <v>0</v>
      </c>
      <c r="N204" s="433">
        <v>0</v>
      </c>
      <c r="O204" s="300">
        <f t="shared" si="37"/>
        <v>382</v>
      </c>
      <c r="P204" s="305">
        <f t="shared" si="41"/>
        <v>764</v>
      </c>
      <c r="Q204" s="306">
        <f t="shared" si="43"/>
        <v>11837.179483607297</v>
      </c>
      <c r="R204" s="305">
        <f t="shared" si="44"/>
        <v>25934.629199132902</v>
      </c>
      <c r="S204" s="299">
        <f t="shared" si="45"/>
        <v>19167.191595662844</v>
      </c>
      <c r="T204" s="305">
        <f t="shared" si="46"/>
        <v>0</v>
      </c>
      <c r="U204" s="428">
        <f t="shared" si="42"/>
        <v>56939.000278403044</v>
      </c>
    </row>
    <row r="205" spans="1:21" x14ac:dyDescent="0.25">
      <c r="A205" s="108">
        <f>Données!A205</f>
        <v>5743</v>
      </c>
      <c r="B205" s="109" t="str">
        <f>Données!B205</f>
        <v>Arnex-sur-Orbe</v>
      </c>
      <c r="C205" s="304">
        <f>Données!C205</f>
        <v>698</v>
      </c>
      <c r="D205" s="300">
        <f t="shared" si="38"/>
        <v>698</v>
      </c>
      <c r="E205" s="300">
        <f t="shared" si="36"/>
        <v>0</v>
      </c>
      <c r="F205" s="305">
        <f t="shared" si="36"/>
        <v>0</v>
      </c>
      <c r="G205" s="299">
        <f t="shared" si="36"/>
        <v>0</v>
      </c>
      <c r="H205" s="300">
        <f t="shared" si="36"/>
        <v>0</v>
      </c>
      <c r="I205" s="305">
        <f t="shared" si="36"/>
        <v>0</v>
      </c>
      <c r="J205" s="305">
        <f t="shared" si="36"/>
        <v>0</v>
      </c>
      <c r="K205" s="306">
        <f t="shared" si="39"/>
        <v>0</v>
      </c>
      <c r="L205" s="305">
        <f t="shared" si="40"/>
        <v>1396</v>
      </c>
      <c r="M205" s="431">
        <f>Données!AE205</f>
        <v>0</v>
      </c>
      <c r="N205" s="433">
        <v>0</v>
      </c>
      <c r="O205" s="300">
        <f t="shared" si="37"/>
        <v>698</v>
      </c>
      <c r="P205" s="305">
        <f t="shared" si="41"/>
        <v>1396</v>
      </c>
      <c r="Q205" s="306">
        <f t="shared" si="43"/>
        <v>21629.191831303386</v>
      </c>
      <c r="R205" s="305">
        <f t="shared" si="44"/>
        <v>47388.406232970585</v>
      </c>
      <c r="S205" s="299">
        <f t="shared" si="45"/>
        <v>35022.77417217975</v>
      </c>
      <c r="T205" s="305">
        <f t="shared" si="46"/>
        <v>0</v>
      </c>
      <c r="U205" s="428">
        <f t="shared" si="42"/>
        <v>104040.37223645372</v>
      </c>
    </row>
    <row r="206" spans="1:21" x14ac:dyDescent="0.25">
      <c r="A206" s="108">
        <f>Données!A206</f>
        <v>5744</v>
      </c>
      <c r="B206" s="109" t="str">
        <f>Données!B206</f>
        <v>Ballaigues</v>
      </c>
      <c r="C206" s="304">
        <f>Données!C206</f>
        <v>1217</v>
      </c>
      <c r="D206" s="300">
        <f t="shared" si="38"/>
        <v>1000</v>
      </c>
      <c r="E206" s="300">
        <f t="shared" si="36"/>
        <v>217</v>
      </c>
      <c r="F206" s="305">
        <f t="shared" si="36"/>
        <v>0</v>
      </c>
      <c r="G206" s="299">
        <f t="shared" si="36"/>
        <v>0</v>
      </c>
      <c r="H206" s="300">
        <f t="shared" si="36"/>
        <v>0</v>
      </c>
      <c r="I206" s="305">
        <f t="shared" si="36"/>
        <v>0</v>
      </c>
      <c r="J206" s="305">
        <f t="shared" si="36"/>
        <v>0</v>
      </c>
      <c r="K206" s="306">
        <f t="shared" si="39"/>
        <v>0</v>
      </c>
      <c r="L206" s="305">
        <f t="shared" si="40"/>
        <v>2651</v>
      </c>
      <c r="M206" s="431">
        <f>Données!AE206</f>
        <v>0</v>
      </c>
      <c r="N206" s="433">
        <v>0</v>
      </c>
      <c r="O206" s="300">
        <f t="shared" si="37"/>
        <v>1217</v>
      </c>
      <c r="P206" s="305">
        <f t="shared" si="41"/>
        <v>2651</v>
      </c>
      <c r="Q206" s="306">
        <f t="shared" si="43"/>
        <v>37711.642490968792</v>
      </c>
      <c r="R206" s="305">
        <f t="shared" si="44"/>
        <v>82624.198260064761</v>
      </c>
      <c r="S206" s="299">
        <f t="shared" si="45"/>
        <v>66508.147801180894</v>
      </c>
      <c r="T206" s="305">
        <f t="shared" si="46"/>
        <v>0</v>
      </c>
      <c r="U206" s="428">
        <f t="shared" si="42"/>
        <v>186843.98855221446</v>
      </c>
    </row>
    <row r="207" spans="1:21" x14ac:dyDescent="0.25">
      <c r="A207" s="108">
        <f>Données!A207</f>
        <v>5745</v>
      </c>
      <c r="B207" s="109" t="str">
        <f>Données!B207</f>
        <v>Baulmes</v>
      </c>
      <c r="C207" s="304">
        <f>Données!C207</f>
        <v>1189</v>
      </c>
      <c r="D207" s="300">
        <f t="shared" si="38"/>
        <v>1000</v>
      </c>
      <c r="E207" s="300">
        <f t="shared" si="36"/>
        <v>189</v>
      </c>
      <c r="F207" s="305">
        <f t="shared" si="36"/>
        <v>0</v>
      </c>
      <c r="G207" s="299">
        <f t="shared" si="36"/>
        <v>0</v>
      </c>
      <c r="H207" s="300">
        <f t="shared" si="36"/>
        <v>0</v>
      </c>
      <c r="I207" s="305">
        <f t="shared" si="36"/>
        <v>0</v>
      </c>
      <c r="J207" s="305">
        <f t="shared" si="36"/>
        <v>0</v>
      </c>
      <c r="K207" s="306">
        <f t="shared" si="39"/>
        <v>0</v>
      </c>
      <c r="L207" s="305">
        <f t="shared" si="40"/>
        <v>2567</v>
      </c>
      <c r="M207" s="431">
        <f>Données!AE207</f>
        <v>0</v>
      </c>
      <c r="N207" s="433">
        <v>0</v>
      </c>
      <c r="O207" s="300">
        <f t="shared" si="37"/>
        <v>1189</v>
      </c>
      <c r="P207" s="305">
        <f t="shared" si="41"/>
        <v>2567</v>
      </c>
      <c r="Q207" s="306">
        <f t="shared" si="43"/>
        <v>36843.995827248888</v>
      </c>
      <c r="R207" s="305">
        <f t="shared" si="44"/>
        <v>80723.230674788007</v>
      </c>
      <c r="S207" s="299">
        <f t="shared" si="45"/>
        <v>64400.760243542572</v>
      </c>
      <c r="T207" s="305">
        <f t="shared" si="46"/>
        <v>0</v>
      </c>
      <c r="U207" s="428">
        <f t="shared" si="42"/>
        <v>181967.98674557946</v>
      </c>
    </row>
    <row r="208" spans="1:21" x14ac:dyDescent="0.25">
      <c r="A208" s="108">
        <f>Données!A208</f>
        <v>5746</v>
      </c>
      <c r="B208" s="109" t="str">
        <f>Données!B208</f>
        <v>Bavois</v>
      </c>
      <c r="C208" s="304">
        <f>Données!C208</f>
        <v>1055</v>
      </c>
      <c r="D208" s="300">
        <f t="shared" si="38"/>
        <v>1000</v>
      </c>
      <c r="E208" s="300">
        <f t="shared" si="36"/>
        <v>55</v>
      </c>
      <c r="F208" s="305">
        <f t="shared" si="36"/>
        <v>0</v>
      </c>
      <c r="G208" s="299">
        <f t="shared" si="36"/>
        <v>0</v>
      </c>
      <c r="H208" s="300">
        <f t="shared" si="36"/>
        <v>0</v>
      </c>
      <c r="I208" s="305">
        <f t="shared" si="36"/>
        <v>0</v>
      </c>
      <c r="J208" s="305">
        <f t="shared" si="36"/>
        <v>0</v>
      </c>
      <c r="K208" s="306">
        <f t="shared" si="39"/>
        <v>0</v>
      </c>
      <c r="L208" s="305">
        <f t="shared" si="40"/>
        <v>2165</v>
      </c>
      <c r="M208" s="431">
        <f>Données!AE208</f>
        <v>0</v>
      </c>
      <c r="N208" s="433">
        <v>0</v>
      </c>
      <c r="O208" s="300">
        <f t="shared" si="37"/>
        <v>1055</v>
      </c>
      <c r="P208" s="305">
        <f t="shared" si="41"/>
        <v>2165</v>
      </c>
      <c r="Q208" s="306">
        <f t="shared" si="43"/>
        <v>32691.686793732191</v>
      </c>
      <c r="R208" s="305">
        <f t="shared" si="44"/>
        <v>71625.742945249236</v>
      </c>
      <c r="S208" s="299">
        <f t="shared" si="45"/>
        <v>54315.40550341631</v>
      </c>
      <c r="T208" s="305">
        <f t="shared" si="46"/>
        <v>0</v>
      </c>
      <c r="U208" s="428">
        <f t="shared" si="42"/>
        <v>158632.83524239773</v>
      </c>
    </row>
    <row r="209" spans="1:21" x14ac:dyDescent="0.25">
      <c r="A209" s="108">
        <f>Données!A209</f>
        <v>5747</v>
      </c>
      <c r="B209" s="109" t="str">
        <f>Données!B209</f>
        <v>Bofflens</v>
      </c>
      <c r="C209" s="304">
        <f>Données!C209</f>
        <v>201</v>
      </c>
      <c r="D209" s="300">
        <f t="shared" si="38"/>
        <v>201</v>
      </c>
      <c r="E209" s="300">
        <f t="shared" si="36"/>
        <v>0</v>
      </c>
      <c r="F209" s="305">
        <f t="shared" si="36"/>
        <v>0</v>
      </c>
      <c r="G209" s="299">
        <f t="shared" si="36"/>
        <v>0</v>
      </c>
      <c r="H209" s="300">
        <f t="shared" si="36"/>
        <v>0</v>
      </c>
      <c r="I209" s="305">
        <f t="shared" si="36"/>
        <v>0</v>
      </c>
      <c r="J209" s="305">
        <f t="shared" si="36"/>
        <v>0</v>
      </c>
      <c r="K209" s="306">
        <f t="shared" si="39"/>
        <v>0</v>
      </c>
      <c r="L209" s="305">
        <f t="shared" si="40"/>
        <v>402</v>
      </c>
      <c r="M209" s="431">
        <f>Données!AE209</f>
        <v>0</v>
      </c>
      <c r="N209" s="433">
        <v>0</v>
      </c>
      <c r="O209" s="300">
        <f t="shared" si="37"/>
        <v>201</v>
      </c>
      <c r="P209" s="305">
        <f t="shared" si="41"/>
        <v>402</v>
      </c>
      <c r="Q209" s="306">
        <f t="shared" si="43"/>
        <v>6228.4635502750434</v>
      </c>
      <c r="R209" s="305">
        <f t="shared" si="44"/>
        <v>13646.231594308148</v>
      </c>
      <c r="S209" s="299">
        <f t="shared" si="45"/>
        <v>10085.354740126262</v>
      </c>
      <c r="T209" s="305">
        <f t="shared" si="46"/>
        <v>0</v>
      </c>
      <c r="U209" s="428">
        <f t="shared" si="42"/>
        <v>29960.049884709453</v>
      </c>
    </row>
    <row r="210" spans="1:21" x14ac:dyDescent="0.25">
      <c r="A210" s="108">
        <f>Données!A210</f>
        <v>5748</v>
      </c>
      <c r="B210" s="109" t="str">
        <f>Données!B210</f>
        <v>Bretonnières</v>
      </c>
      <c r="C210" s="304">
        <f>Données!C210</f>
        <v>265</v>
      </c>
      <c r="D210" s="300">
        <f t="shared" si="38"/>
        <v>265</v>
      </c>
      <c r="E210" s="300">
        <f t="shared" si="36"/>
        <v>0</v>
      </c>
      <c r="F210" s="305">
        <f t="shared" si="36"/>
        <v>0</v>
      </c>
      <c r="G210" s="299">
        <f t="shared" si="36"/>
        <v>0</v>
      </c>
      <c r="H210" s="300">
        <f t="shared" si="36"/>
        <v>0</v>
      </c>
      <c r="I210" s="305">
        <f t="shared" si="36"/>
        <v>0</v>
      </c>
      <c r="J210" s="305">
        <f t="shared" si="36"/>
        <v>0</v>
      </c>
      <c r="K210" s="306">
        <f t="shared" si="39"/>
        <v>0</v>
      </c>
      <c r="L210" s="305">
        <f t="shared" si="40"/>
        <v>530</v>
      </c>
      <c r="M210" s="431">
        <f>Données!AE210</f>
        <v>0</v>
      </c>
      <c r="N210" s="433">
        <v>0</v>
      </c>
      <c r="O210" s="300">
        <f t="shared" si="37"/>
        <v>265</v>
      </c>
      <c r="P210" s="305">
        <f t="shared" si="41"/>
        <v>530</v>
      </c>
      <c r="Q210" s="306">
        <f t="shared" si="43"/>
        <v>8211.6559244919717</v>
      </c>
      <c r="R210" s="305">
        <f t="shared" si="44"/>
        <v>17991.300360655023</v>
      </c>
      <c r="S210" s="299">
        <f t="shared" si="45"/>
        <v>13296.61197081323</v>
      </c>
      <c r="T210" s="305">
        <f t="shared" si="46"/>
        <v>0</v>
      </c>
      <c r="U210" s="428">
        <f t="shared" si="42"/>
        <v>39499.568255960228</v>
      </c>
    </row>
    <row r="211" spans="1:21" x14ac:dyDescent="0.25">
      <c r="A211" s="108">
        <f>Données!A211</f>
        <v>5749</v>
      </c>
      <c r="B211" s="109" t="str">
        <f>Données!B211</f>
        <v>Chavornay</v>
      </c>
      <c r="C211" s="304">
        <f>Données!C211</f>
        <v>5374</v>
      </c>
      <c r="D211" s="300">
        <f t="shared" si="38"/>
        <v>1000</v>
      </c>
      <c r="E211" s="300">
        <f t="shared" si="36"/>
        <v>2000</v>
      </c>
      <c r="F211" s="305">
        <f t="shared" si="36"/>
        <v>2000</v>
      </c>
      <c r="G211" s="299">
        <f t="shared" si="36"/>
        <v>374</v>
      </c>
      <c r="H211" s="300">
        <f t="shared" si="36"/>
        <v>0</v>
      </c>
      <c r="I211" s="305">
        <f t="shared" si="36"/>
        <v>0</v>
      </c>
      <c r="J211" s="305">
        <f t="shared" si="36"/>
        <v>0</v>
      </c>
      <c r="K211" s="306">
        <f t="shared" si="39"/>
        <v>0</v>
      </c>
      <c r="L211" s="305">
        <f t="shared" si="40"/>
        <v>16496</v>
      </c>
      <c r="M211" s="431">
        <f>Données!AE211</f>
        <v>0</v>
      </c>
      <c r="N211" s="433">
        <v>0</v>
      </c>
      <c r="O211" s="300">
        <f t="shared" si="37"/>
        <v>5374</v>
      </c>
      <c r="P211" s="305">
        <f t="shared" si="41"/>
        <v>16496</v>
      </c>
      <c r="Q211" s="306">
        <f t="shared" si="43"/>
        <v>166526.18467252777</v>
      </c>
      <c r="R211" s="305">
        <f t="shared" si="44"/>
        <v>364849.99297418905</v>
      </c>
      <c r="S211" s="299">
        <f t="shared" si="45"/>
        <v>413850.77560478309</v>
      </c>
      <c r="T211" s="305">
        <f t="shared" si="46"/>
        <v>0</v>
      </c>
      <c r="U211" s="428">
        <f t="shared" si="42"/>
        <v>945226.95325149992</v>
      </c>
    </row>
    <row r="212" spans="1:21" x14ac:dyDescent="0.25">
      <c r="A212" s="108">
        <f>Données!A212</f>
        <v>5750</v>
      </c>
      <c r="B212" s="109" t="str">
        <f>Données!B212</f>
        <v>Les Clées</v>
      </c>
      <c r="C212" s="304">
        <f>Données!C212</f>
        <v>195</v>
      </c>
      <c r="D212" s="300">
        <f t="shared" si="38"/>
        <v>195</v>
      </c>
      <c r="E212" s="300">
        <f t="shared" si="36"/>
        <v>0</v>
      </c>
      <c r="F212" s="305">
        <f t="shared" si="36"/>
        <v>0</v>
      </c>
      <c r="G212" s="299">
        <f t="shared" si="36"/>
        <v>0</v>
      </c>
      <c r="H212" s="300">
        <f t="shared" si="36"/>
        <v>0</v>
      </c>
      <c r="I212" s="305">
        <f t="shared" si="36"/>
        <v>0</v>
      </c>
      <c r="J212" s="305">
        <f t="shared" si="36"/>
        <v>0</v>
      </c>
      <c r="K212" s="306">
        <f t="shared" si="39"/>
        <v>0</v>
      </c>
      <c r="L212" s="305">
        <f t="shared" si="40"/>
        <v>390</v>
      </c>
      <c r="M212" s="431">
        <f>Données!AE212</f>
        <v>0</v>
      </c>
      <c r="N212" s="433">
        <v>0</v>
      </c>
      <c r="O212" s="300">
        <f t="shared" si="37"/>
        <v>195</v>
      </c>
      <c r="P212" s="305">
        <f t="shared" si="41"/>
        <v>390</v>
      </c>
      <c r="Q212" s="306">
        <f t="shared" si="43"/>
        <v>6042.5392651922066</v>
      </c>
      <c r="R212" s="305">
        <f t="shared" si="44"/>
        <v>13238.88139746313</v>
      </c>
      <c r="S212" s="299">
        <f t="shared" si="45"/>
        <v>9784.2993747493583</v>
      </c>
      <c r="T212" s="305">
        <f t="shared" si="46"/>
        <v>0</v>
      </c>
      <c r="U212" s="428">
        <f t="shared" si="42"/>
        <v>29065.720037404695</v>
      </c>
    </row>
    <row r="213" spans="1:21" x14ac:dyDescent="0.25">
      <c r="A213" s="108">
        <f>Données!A213</f>
        <v>5752</v>
      </c>
      <c r="B213" s="109" t="str">
        <f>Données!B213</f>
        <v>Croy</v>
      </c>
      <c r="C213" s="304">
        <f>Données!C213</f>
        <v>408</v>
      </c>
      <c r="D213" s="300">
        <f t="shared" si="38"/>
        <v>408</v>
      </c>
      <c r="E213" s="300">
        <f t="shared" si="36"/>
        <v>0</v>
      </c>
      <c r="F213" s="305">
        <f t="shared" si="36"/>
        <v>0</v>
      </c>
      <c r="G213" s="299">
        <f t="shared" si="36"/>
        <v>0</v>
      </c>
      <c r="H213" s="300">
        <f t="shared" si="36"/>
        <v>0</v>
      </c>
      <c r="I213" s="305">
        <f t="shared" si="36"/>
        <v>0</v>
      </c>
      <c r="J213" s="305">
        <f t="shared" si="36"/>
        <v>0</v>
      </c>
      <c r="K213" s="306">
        <f t="shared" si="39"/>
        <v>0</v>
      </c>
      <c r="L213" s="305">
        <f t="shared" si="40"/>
        <v>816</v>
      </c>
      <c r="M213" s="431">
        <f>Données!AE213</f>
        <v>0</v>
      </c>
      <c r="N213" s="433">
        <v>0</v>
      </c>
      <c r="O213" s="300">
        <f t="shared" si="37"/>
        <v>408</v>
      </c>
      <c r="P213" s="305">
        <f t="shared" si="41"/>
        <v>816</v>
      </c>
      <c r="Q213" s="306">
        <f t="shared" si="43"/>
        <v>12642.851385632925</v>
      </c>
      <c r="R213" s="305">
        <f t="shared" si="44"/>
        <v>27699.813385461319</v>
      </c>
      <c r="S213" s="299">
        <f t="shared" si="45"/>
        <v>20471.764845629426</v>
      </c>
      <c r="T213" s="305">
        <f t="shared" si="46"/>
        <v>0</v>
      </c>
      <c r="U213" s="428">
        <f t="shared" si="42"/>
        <v>60814.429616723668</v>
      </c>
    </row>
    <row r="214" spans="1:21" x14ac:dyDescent="0.25">
      <c r="A214" s="108">
        <f>Données!A214</f>
        <v>5754</v>
      </c>
      <c r="B214" s="109" t="str">
        <f>Données!B214</f>
        <v>Juriens</v>
      </c>
      <c r="C214" s="304">
        <f>Données!C214</f>
        <v>345</v>
      </c>
      <c r="D214" s="300">
        <f t="shared" si="38"/>
        <v>345</v>
      </c>
      <c r="E214" s="300">
        <f t="shared" si="36"/>
        <v>0</v>
      </c>
      <c r="F214" s="305">
        <f t="shared" si="36"/>
        <v>0</v>
      </c>
      <c r="G214" s="299">
        <f t="shared" si="36"/>
        <v>0</v>
      </c>
      <c r="H214" s="300">
        <f t="shared" si="36"/>
        <v>0</v>
      </c>
      <c r="I214" s="305">
        <f t="shared" si="36"/>
        <v>0</v>
      </c>
      <c r="J214" s="305">
        <f t="shared" si="36"/>
        <v>0</v>
      </c>
      <c r="K214" s="306">
        <f t="shared" si="39"/>
        <v>0</v>
      </c>
      <c r="L214" s="305">
        <f t="shared" si="40"/>
        <v>690</v>
      </c>
      <c r="M214" s="431">
        <f>Données!AE214</f>
        <v>0</v>
      </c>
      <c r="N214" s="433">
        <v>0</v>
      </c>
      <c r="O214" s="300">
        <f t="shared" si="37"/>
        <v>345</v>
      </c>
      <c r="P214" s="305">
        <f t="shared" si="41"/>
        <v>690</v>
      </c>
      <c r="Q214" s="306">
        <f t="shared" si="43"/>
        <v>10690.646392263134</v>
      </c>
      <c r="R214" s="305">
        <f t="shared" si="44"/>
        <v>23422.636318588615</v>
      </c>
      <c r="S214" s="299">
        <f t="shared" si="45"/>
        <v>17310.68350917194</v>
      </c>
      <c r="T214" s="305">
        <f t="shared" si="46"/>
        <v>0</v>
      </c>
      <c r="U214" s="428">
        <f t="shared" si="42"/>
        <v>51423.966220023693</v>
      </c>
    </row>
    <row r="215" spans="1:21" x14ac:dyDescent="0.25">
      <c r="A215" s="108">
        <f>Données!A215</f>
        <v>5755</v>
      </c>
      <c r="B215" s="109" t="str">
        <f>Données!B215</f>
        <v>Lignerolle</v>
      </c>
      <c r="C215" s="304">
        <f>Données!C215</f>
        <v>452</v>
      </c>
      <c r="D215" s="300">
        <f t="shared" si="38"/>
        <v>452</v>
      </c>
      <c r="E215" s="300">
        <f t="shared" si="36"/>
        <v>0</v>
      </c>
      <c r="F215" s="305">
        <f t="shared" si="36"/>
        <v>0</v>
      </c>
      <c r="G215" s="299">
        <f t="shared" si="36"/>
        <v>0</v>
      </c>
      <c r="H215" s="300">
        <f t="shared" si="36"/>
        <v>0</v>
      </c>
      <c r="I215" s="305">
        <f t="shared" si="36"/>
        <v>0</v>
      </c>
      <c r="J215" s="305">
        <f t="shared" si="36"/>
        <v>0</v>
      </c>
      <c r="K215" s="306">
        <f t="shared" si="39"/>
        <v>0</v>
      </c>
      <c r="L215" s="305">
        <f t="shared" si="40"/>
        <v>904</v>
      </c>
      <c r="M215" s="431">
        <f>Données!AE215</f>
        <v>0</v>
      </c>
      <c r="N215" s="433">
        <v>0</v>
      </c>
      <c r="O215" s="300">
        <f t="shared" si="37"/>
        <v>452</v>
      </c>
      <c r="P215" s="305">
        <f t="shared" si="41"/>
        <v>904</v>
      </c>
      <c r="Q215" s="306">
        <f t="shared" si="43"/>
        <v>14006.296142907062</v>
      </c>
      <c r="R215" s="305">
        <f t="shared" si="44"/>
        <v>30687.048162324794</v>
      </c>
      <c r="S215" s="299">
        <f t="shared" si="45"/>
        <v>22679.504191726715</v>
      </c>
      <c r="T215" s="305">
        <f t="shared" si="46"/>
        <v>0</v>
      </c>
      <c r="U215" s="428">
        <f t="shared" si="42"/>
        <v>67372.84849695857</v>
      </c>
    </row>
    <row r="216" spans="1:21" x14ac:dyDescent="0.25">
      <c r="A216" s="108">
        <f>Données!A216</f>
        <v>5756</v>
      </c>
      <c r="B216" s="109" t="str">
        <f>Données!B216</f>
        <v>Montcherand</v>
      </c>
      <c r="C216" s="304">
        <f>Données!C216</f>
        <v>494</v>
      </c>
      <c r="D216" s="300">
        <f t="shared" si="38"/>
        <v>494</v>
      </c>
      <c r="E216" s="300">
        <f t="shared" si="36"/>
        <v>0</v>
      </c>
      <c r="F216" s="305">
        <f t="shared" si="36"/>
        <v>0</v>
      </c>
      <c r="G216" s="299">
        <f t="shared" si="36"/>
        <v>0</v>
      </c>
      <c r="H216" s="300">
        <f t="shared" si="36"/>
        <v>0</v>
      </c>
      <c r="I216" s="305">
        <f t="shared" si="36"/>
        <v>0</v>
      </c>
      <c r="J216" s="305">
        <f t="shared" si="36"/>
        <v>0</v>
      </c>
      <c r="K216" s="306">
        <f t="shared" si="39"/>
        <v>0</v>
      </c>
      <c r="L216" s="305">
        <f t="shared" si="40"/>
        <v>988</v>
      </c>
      <c r="M216" s="431">
        <f>Données!AE216</f>
        <v>0</v>
      </c>
      <c r="N216" s="433">
        <v>0</v>
      </c>
      <c r="O216" s="300">
        <f t="shared" si="37"/>
        <v>494</v>
      </c>
      <c r="P216" s="305">
        <f t="shared" si="41"/>
        <v>988</v>
      </c>
      <c r="Q216" s="306">
        <f t="shared" si="43"/>
        <v>15307.766138486923</v>
      </c>
      <c r="R216" s="305">
        <f t="shared" si="44"/>
        <v>33538.499540239929</v>
      </c>
      <c r="S216" s="299">
        <f t="shared" si="45"/>
        <v>24786.891749365041</v>
      </c>
      <c r="T216" s="305">
        <f t="shared" si="46"/>
        <v>0</v>
      </c>
      <c r="U216" s="428">
        <f t="shared" si="42"/>
        <v>73633.157428091887</v>
      </c>
    </row>
    <row r="217" spans="1:21" x14ac:dyDescent="0.25">
      <c r="A217" s="108">
        <f>Données!A217</f>
        <v>5757</v>
      </c>
      <c r="B217" s="109" t="str">
        <f>Données!B217</f>
        <v>Orbe</v>
      </c>
      <c r="C217" s="304">
        <f>Données!C217</f>
        <v>8008</v>
      </c>
      <c r="D217" s="300">
        <f t="shared" si="38"/>
        <v>1000</v>
      </c>
      <c r="E217" s="300">
        <f t="shared" si="36"/>
        <v>2000</v>
      </c>
      <c r="F217" s="305">
        <f t="shared" si="36"/>
        <v>2000</v>
      </c>
      <c r="G217" s="299">
        <f t="shared" si="36"/>
        <v>3008</v>
      </c>
      <c r="H217" s="300">
        <f t="shared" si="36"/>
        <v>0</v>
      </c>
      <c r="I217" s="305">
        <f t="shared" si="36"/>
        <v>0</v>
      </c>
      <c r="J217" s="305">
        <f t="shared" si="36"/>
        <v>0</v>
      </c>
      <c r="K217" s="306">
        <f t="shared" si="39"/>
        <v>0</v>
      </c>
      <c r="L217" s="305">
        <f t="shared" si="40"/>
        <v>27032</v>
      </c>
      <c r="M217" s="431">
        <f>Données!AE217</f>
        <v>0</v>
      </c>
      <c r="N217" s="433">
        <v>0</v>
      </c>
      <c r="O217" s="300">
        <f t="shared" si="37"/>
        <v>8008</v>
      </c>
      <c r="P217" s="305">
        <f t="shared" si="41"/>
        <v>27032</v>
      </c>
      <c r="Q217" s="306">
        <f t="shared" si="43"/>
        <v>248146.94582389327</v>
      </c>
      <c r="R217" s="305">
        <f t="shared" si="44"/>
        <v>543676.72938915249</v>
      </c>
      <c r="S217" s="299">
        <f t="shared" si="45"/>
        <v>678177.38640570419</v>
      </c>
      <c r="T217" s="305">
        <f t="shared" si="46"/>
        <v>0</v>
      </c>
      <c r="U217" s="428">
        <f t="shared" si="42"/>
        <v>1470001.06161875</v>
      </c>
    </row>
    <row r="218" spans="1:21" x14ac:dyDescent="0.25">
      <c r="A218" s="108">
        <f>Données!A218</f>
        <v>5758</v>
      </c>
      <c r="B218" s="109" t="str">
        <f>Données!B218</f>
        <v>La Praz</v>
      </c>
      <c r="C218" s="304">
        <f>Données!C218</f>
        <v>214</v>
      </c>
      <c r="D218" s="300">
        <f t="shared" si="38"/>
        <v>214</v>
      </c>
      <c r="E218" s="300">
        <f t="shared" si="36"/>
        <v>0</v>
      </c>
      <c r="F218" s="305">
        <f t="shared" si="36"/>
        <v>0</v>
      </c>
      <c r="G218" s="299">
        <f t="shared" si="36"/>
        <v>0</v>
      </c>
      <c r="H218" s="300">
        <f t="shared" si="36"/>
        <v>0</v>
      </c>
      <c r="I218" s="305">
        <f t="shared" si="36"/>
        <v>0</v>
      </c>
      <c r="J218" s="305">
        <f t="shared" si="36"/>
        <v>0</v>
      </c>
      <c r="K218" s="306">
        <f t="shared" si="39"/>
        <v>0</v>
      </c>
      <c r="L218" s="305">
        <f t="shared" si="40"/>
        <v>428</v>
      </c>
      <c r="M218" s="431">
        <f>Données!AE218</f>
        <v>0</v>
      </c>
      <c r="N218" s="433">
        <v>0</v>
      </c>
      <c r="O218" s="300">
        <f t="shared" si="37"/>
        <v>214</v>
      </c>
      <c r="P218" s="305">
        <f t="shared" si="41"/>
        <v>428</v>
      </c>
      <c r="Q218" s="306">
        <f t="shared" si="43"/>
        <v>6631.2995012878573</v>
      </c>
      <c r="R218" s="305">
        <f t="shared" si="44"/>
        <v>14528.823687472359</v>
      </c>
      <c r="S218" s="299">
        <f t="shared" si="45"/>
        <v>10737.641365109552</v>
      </c>
      <c r="T218" s="305">
        <f t="shared" si="46"/>
        <v>0</v>
      </c>
      <c r="U218" s="428">
        <f t="shared" si="42"/>
        <v>31897.764553869769</v>
      </c>
    </row>
    <row r="219" spans="1:21" x14ac:dyDescent="0.25">
      <c r="A219" s="108">
        <f>Données!A219</f>
        <v>5759</v>
      </c>
      <c r="B219" s="109" t="str">
        <f>Données!B219</f>
        <v>Premier</v>
      </c>
      <c r="C219" s="304">
        <f>Données!C219</f>
        <v>233</v>
      </c>
      <c r="D219" s="300">
        <f t="shared" si="38"/>
        <v>233</v>
      </c>
      <c r="E219" s="300">
        <f t="shared" si="36"/>
        <v>0</v>
      </c>
      <c r="F219" s="305">
        <f t="shared" si="36"/>
        <v>0</v>
      </c>
      <c r="G219" s="299">
        <f t="shared" si="36"/>
        <v>0</v>
      </c>
      <c r="H219" s="300">
        <f t="shared" si="36"/>
        <v>0</v>
      </c>
      <c r="I219" s="305">
        <f t="shared" si="36"/>
        <v>0</v>
      </c>
      <c r="J219" s="305">
        <f t="shared" si="36"/>
        <v>0</v>
      </c>
      <c r="K219" s="306">
        <f t="shared" si="39"/>
        <v>0</v>
      </c>
      <c r="L219" s="305">
        <f t="shared" si="40"/>
        <v>466</v>
      </c>
      <c r="M219" s="431">
        <f>Données!AE219</f>
        <v>0</v>
      </c>
      <c r="N219" s="433">
        <v>0</v>
      </c>
      <c r="O219" s="300">
        <f t="shared" si="37"/>
        <v>233</v>
      </c>
      <c r="P219" s="305">
        <f t="shared" si="41"/>
        <v>466</v>
      </c>
      <c r="Q219" s="306">
        <f t="shared" si="43"/>
        <v>7220.059737383508</v>
      </c>
      <c r="R219" s="305">
        <f t="shared" si="44"/>
        <v>15818.765977481586</v>
      </c>
      <c r="S219" s="299">
        <f t="shared" si="45"/>
        <v>11690.983355469745</v>
      </c>
      <c r="T219" s="305">
        <f t="shared" si="46"/>
        <v>0</v>
      </c>
      <c r="U219" s="428">
        <f t="shared" si="42"/>
        <v>34729.809070334843</v>
      </c>
    </row>
    <row r="220" spans="1:21" x14ac:dyDescent="0.25">
      <c r="A220" s="108">
        <f>Données!A220</f>
        <v>5760</v>
      </c>
      <c r="B220" s="109" t="str">
        <f>Données!B220</f>
        <v>Rances</v>
      </c>
      <c r="C220" s="304">
        <f>Données!C220</f>
        <v>513</v>
      </c>
      <c r="D220" s="300">
        <f t="shared" si="38"/>
        <v>513</v>
      </c>
      <c r="E220" s="300">
        <f t="shared" si="36"/>
        <v>0</v>
      </c>
      <c r="F220" s="305">
        <f t="shared" si="36"/>
        <v>0</v>
      </c>
      <c r="G220" s="299">
        <f t="shared" si="36"/>
        <v>0</v>
      </c>
      <c r="H220" s="300">
        <f t="shared" si="36"/>
        <v>0</v>
      </c>
      <c r="I220" s="305">
        <f t="shared" si="36"/>
        <v>0</v>
      </c>
      <c r="J220" s="305">
        <f t="shared" si="36"/>
        <v>0</v>
      </c>
      <c r="K220" s="306">
        <f t="shared" si="39"/>
        <v>0</v>
      </c>
      <c r="L220" s="305">
        <f t="shared" si="40"/>
        <v>1026</v>
      </c>
      <c r="M220" s="431">
        <f>Données!AE220</f>
        <v>0</v>
      </c>
      <c r="N220" s="433">
        <v>0</v>
      </c>
      <c r="O220" s="300">
        <f t="shared" si="37"/>
        <v>513</v>
      </c>
      <c r="P220" s="305">
        <f t="shared" si="41"/>
        <v>1026</v>
      </c>
      <c r="Q220" s="306">
        <f t="shared" si="43"/>
        <v>15896.526374582574</v>
      </c>
      <c r="R220" s="305">
        <f t="shared" si="44"/>
        <v>34828.441830249154</v>
      </c>
      <c r="S220" s="299">
        <f t="shared" si="45"/>
        <v>25740.233739725234</v>
      </c>
      <c r="T220" s="305">
        <f t="shared" si="46"/>
        <v>0</v>
      </c>
      <c r="U220" s="428">
        <f t="shared" si="42"/>
        <v>76465.20194455696</v>
      </c>
    </row>
    <row r="221" spans="1:21" x14ac:dyDescent="0.25">
      <c r="A221" s="108">
        <f>Données!A221</f>
        <v>5761</v>
      </c>
      <c r="B221" s="109" t="str">
        <f>Données!B221</f>
        <v>Romainmôtier-Envy</v>
      </c>
      <c r="C221" s="304">
        <f>Données!C221</f>
        <v>579</v>
      </c>
      <c r="D221" s="300">
        <f t="shared" si="38"/>
        <v>579</v>
      </c>
      <c r="E221" s="300">
        <f t="shared" si="36"/>
        <v>0</v>
      </c>
      <c r="F221" s="305">
        <f t="shared" si="36"/>
        <v>0</v>
      </c>
      <c r="G221" s="299">
        <f t="shared" si="36"/>
        <v>0</v>
      </c>
      <c r="H221" s="300">
        <f t="shared" si="36"/>
        <v>0</v>
      </c>
      <c r="I221" s="305">
        <f t="shared" si="36"/>
        <v>0</v>
      </c>
      <c r="J221" s="305">
        <f t="shared" si="36"/>
        <v>0</v>
      </c>
      <c r="K221" s="306">
        <f t="shared" si="39"/>
        <v>0</v>
      </c>
      <c r="L221" s="305">
        <f t="shared" si="40"/>
        <v>1158</v>
      </c>
      <c r="M221" s="431">
        <f>Données!AE221</f>
        <v>0</v>
      </c>
      <c r="N221" s="433">
        <v>0</v>
      </c>
      <c r="O221" s="300">
        <f t="shared" si="37"/>
        <v>579</v>
      </c>
      <c r="P221" s="305">
        <f t="shared" si="41"/>
        <v>1158</v>
      </c>
      <c r="Q221" s="306">
        <f t="shared" si="43"/>
        <v>17941.69351049378</v>
      </c>
      <c r="R221" s="305">
        <f t="shared" si="44"/>
        <v>39309.293995544373</v>
      </c>
      <c r="S221" s="299">
        <f t="shared" si="45"/>
        <v>29051.842758871171</v>
      </c>
      <c r="T221" s="305">
        <f t="shared" si="46"/>
        <v>0</v>
      </c>
      <c r="U221" s="428">
        <f t="shared" si="42"/>
        <v>86302.830264909324</v>
      </c>
    </row>
    <row r="222" spans="1:21" x14ac:dyDescent="0.25">
      <c r="A222" s="108">
        <f>Données!A222</f>
        <v>5762</v>
      </c>
      <c r="B222" s="109" t="str">
        <f>Données!B222</f>
        <v>Sergey</v>
      </c>
      <c r="C222" s="304">
        <f>Données!C222</f>
        <v>165</v>
      </c>
      <c r="D222" s="300">
        <f t="shared" si="38"/>
        <v>165</v>
      </c>
      <c r="E222" s="300">
        <f t="shared" si="36"/>
        <v>0</v>
      </c>
      <c r="F222" s="305">
        <f t="shared" si="36"/>
        <v>0</v>
      </c>
      <c r="G222" s="299">
        <f t="shared" si="36"/>
        <v>0</v>
      </c>
      <c r="H222" s="300">
        <f t="shared" si="36"/>
        <v>0</v>
      </c>
      <c r="I222" s="305">
        <f t="shared" si="36"/>
        <v>0</v>
      </c>
      <c r="J222" s="305">
        <f t="shared" si="36"/>
        <v>0</v>
      </c>
      <c r="K222" s="306">
        <f t="shared" si="39"/>
        <v>0</v>
      </c>
      <c r="L222" s="305">
        <f t="shared" si="40"/>
        <v>330</v>
      </c>
      <c r="M222" s="431">
        <f>Données!AE222</f>
        <v>0</v>
      </c>
      <c r="N222" s="433">
        <v>0</v>
      </c>
      <c r="O222" s="300">
        <f t="shared" si="37"/>
        <v>165</v>
      </c>
      <c r="P222" s="305">
        <f t="shared" si="41"/>
        <v>330</v>
      </c>
      <c r="Q222" s="306">
        <f t="shared" si="43"/>
        <v>5112.9178397780206</v>
      </c>
      <c r="R222" s="305">
        <f t="shared" si="44"/>
        <v>11202.130413238034</v>
      </c>
      <c r="S222" s="299">
        <f t="shared" si="45"/>
        <v>8279.0225478648408</v>
      </c>
      <c r="T222" s="305">
        <f t="shared" si="46"/>
        <v>0</v>
      </c>
      <c r="U222" s="428">
        <f t="shared" si="42"/>
        <v>24594.070800880894</v>
      </c>
    </row>
    <row r="223" spans="1:21" x14ac:dyDescent="0.25">
      <c r="A223" s="108">
        <f>Données!A223</f>
        <v>5763</v>
      </c>
      <c r="B223" s="109" t="str">
        <f>Données!B223</f>
        <v>Valeyres-sous-Rances</v>
      </c>
      <c r="C223" s="304">
        <f>Données!C223</f>
        <v>573</v>
      </c>
      <c r="D223" s="300">
        <f t="shared" si="38"/>
        <v>573</v>
      </c>
      <c r="E223" s="300">
        <f t="shared" si="36"/>
        <v>0</v>
      </c>
      <c r="F223" s="305">
        <f t="shared" si="36"/>
        <v>0</v>
      </c>
      <c r="G223" s="299">
        <f t="shared" si="36"/>
        <v>0</v>
      </c>
      <c r="H223" s="300">
        <f t="shared" si="36"/>
        <v>0</v>
      </c>
      <c r="I223" s="305">
        <f t="shared" si="36"/>
        <v>0</v>
      </c>
      <c r="J223" s="305">
        <f t="shared" si="36"/>
        <v>0</v>
      </c>
      <c r="K223" s="306">
        <f t="shared" si="39"/>
        <v>0</v>
      </c>
      <c r="L223" s="305">
        <f t="shared" si="40"/>
        <v>1146</v>
      </c>
      <c r="M223" s="431">
        <f>Données!AE223</f>
        <v>0</v>
      </c>
      <c r="N223" s="433">
        <v>0</v>
      </c>
      <c r="O223" s="300">
        <f t="shared" si="37"/>
        <v>573</v>
      </c>
      <c r="P223" s="305">
        <f t="shared" si="41"/>
        <v>1146</v>
      </c>
      <c r="Q223" s="306">
        <f t="shared" si="43"/>
        <v>17755.769225410946</v>
      </c>
      <c r="R223" s="305">
        <f t="shared" si="44"/>
        <v>38901.943798699351</v>
      </c>
      <c r="S223" s="299">
        <f t="shared" si="45"/>
        <v>28750.787393494269</v>
      </c>
      <c r="T223" s="305">
        <f t="shared" si="46"/>
        <v>0</v>
      </c>
      <c r="U223" s="428">
        <f t="shared" si="42"/>
        <v>85408.500417604577</v>
      </c>
    </row>
    <row r="224" spans="1:21" x14ac:dyDescent="0.25">
      <c r="A224" s="108">
        <f>Données!A224</f>
        <v>5764</v>
      </c>
      <c r="B224" s="109" t="str">
        <f>Données!B224</f>
        <v>Vallorbe</v>
      </c>
      <c r="C224" s="304">
        <f>Données!C224</f>
        <v>4434</v>
      </c>
      <c r="D224" s="300">
        <f t="shared" si="38"/>
        <v>1000</v>
      </c>
      <c r="E224" s="300">
        <f t="shared" si="36"/>
        <v>2000</v>
      </c>
      <c r="F224" s="305">
        <f t="shared" si="36"/>
        <v>1434</v>
      </c>
      <c r="G224" s="299">
        <f t="shared" si="36"/>
        <v>0</v>
      </c>
      <c r="H224" s="300">
        <f t="shared" si="36"/>
        <v>0</v>
      </c>
      <c r="I224" s="305">
        <f t="shared" si="36"/>
        <v>0</v>
      </c>
      <c r="J224" s="305">
        <f t="shared" si="36"/>
        <v>0</v>
      </c>
      <c r="K224" s="306">
        <f t="shared" si="39"/>
        <v>0</v>
      </c>
      <c r="L224" s="305">
        <f t="shared" si="40"/>
        <v>13019</v>
      </c>
      <c r="M224" s="431">
        <f>Données!AE224</f>
        <v>0</v>
      </c>
      <c r="N224" s="433">
        <v>0</v>
      </c>
      <c r="O224" s="300">
        <f t="shared" si="37"/>
        <v>4434</v>
      </c>
      <c r="P224" s="305">
        <f t="shared" si="41"/>
        <v>13019</v>
      </c>
      <c r="Q224" s="306">
        <f t="shared" si="43"/>
        <v>137398.04667621662</v>
      </c>
      <c r="R224" s="305">
        <f t="shared" si="44"/>
        <v>301031.79546846932</v>
      </c>
      <c r="S224" s="299">
        <f t="shared" si="45"/>
        <v>326619.98348682537</v>
      </c>
      <c r="T224" s="305">
        <f t="shared" si="46"/>
        <v>0</v>
      </c>
      <c r="U224" s="428">
        <f t="shared" si="42"/>
        <v>765049.82563151128</v>
      </c>
    </row>
    <row r="225" spans="1:21" x14ac:dyDescent="0.25">
      <c r="A225" s="108">
        <f>Données!A225</f>
        <v>5765</v>
      </c>
      <c r="B225" s="109" t="str">
        <f>Données!B225</f>
        <v>Vaulion</v>
      </c>
      <c r="C225" s="304">
        <f>Données!C225</f>
        <v>500</v>
      </c>
      <c r="D225" s="300">
        <f t="shared" si="38"/>
        <v>500</v>
      </c>
      <c r="E225" s="300">
        <f t="shared" si="36"/>
        <v>0</v>
      </c>
      <c r="F225" s="305">
        <f t="shared" si="36"/>
        <v>0</v>
      </c>
      <c r="G225" s="299">
        <f t="shared" si="36"/>
        <v>0</v>
      </c>
      <c r="H225" s="300">
        <f t="shared" si="36"/>
        <v>0</v>
      </c>
      <c r="I225" s="305">
        <f t="shared" si="36"/>
        <v>0</v>
      </c>
      <c r="J225" s="305">
        <f t="shared" si="36"/>
        <v>0</v>
      </c>
      <c r="K225" s="306">
        <f t="shared" si="39"/>
        <v>0</v>
      </c>
      <c r="L225" s="305">
        <f t="shared" si="40"/>
        <v>1000</v>
      </c>
      <c r="M225" s="431">
        <f>Données!AE225</f>
        <v>0</v>
      </c>
      <c r="N225" s="433">
        <v>0</v>
      </c>
      <c r="O225" s="300">
        <f t="shared" si="37"/>
        <v>500</v>
      </c>
      <c r="P225" s="305">
        <f t="shared" si="41"/>
        <v>1000</v>
      </c>
      <c r="Q225" s="306">
        <f t="shared" si="43"/>
        <v>15493.69042356976</v>
      </c>
      <c r="R225" s="305">
        <f t="shared" si="44"/>
        <v>33945.849737084951</v>
      </c>
      <c r="S225" s="299">
        <f t="shared" si="45"/>
        <v>25087.947114741943</v>
      </c>
      <c r="T225" s="305">
        <f t="shared" si="46"/>
        <v>0</v>
      </c>
      <c r="U225" s="428">
        <f t="shared" si="42"/>
        <v>74527.487275396648</v>
      </c>
    </row>
    <row r="226" spans="1:21" x14ac:dyDescent="0.25">
      <c r="A226" s="108">
        <f>Données!A226</f>
        <v>5766</v>
      </c>
      <c r="B226" s="109" t="str">
        <f>Données!B226</f>
        <v>Vuiteboeuf</v>
      </c>
      <c r="C226" s="304">
        <f>Données!C226</f>
        <v>616</v>
      </c>
      <c r="D226" s="300">
        <f t="shared" si="38"/>
        <v>616</v>
      </c>
      <c r="E226" s="300">
        <f t="shared" si="36"/>
        <v>0</v>
      </c>
      <c r="F226" s="305">
        <f t="shared" si="36"/>
        <v>0</v>
      </c>
      <c r="G226" s="299">
        <f t="shared" si="36"/>
        <v>0</v>
      </c>
      <c r="H226" s="300">
        <f t="shared" si="36"/>
        <v>0</v>
      </c>
      <c r="I226" s="305">
        <f t="shared" si="36"/>
        <v>0</v>
      </c>
      <c r="J226" s="305">
        <f t="shared" si="36"/>
        <v>0</v>
      </c>
      <c r="K226" s="306">
        <f t="shared" si="39"/>
        <v>0</v>
      </c>
      <c r="L226" s="305">
        <f t="shared" si="40"/>
        <v>1232</v>
      </c>
      <c r="M226" s="431">
        <f>Données!AE226</f>
        <v>0</v>
      </c>
      <c r="N226" s="433">
        <v>0</v>
      </c>
      <c r="O226" s="300">
        <f t="shared" si="37"/>
        <v>616</v>
      </c>
      <c r="P226" s="305">
        <f t="shared" si="41"/>
        <v>1232</v>
      </c>
      <c r="Q226" s="306">
        <f t="shared" si="43"/>
        <v>19088.226601837945</v>
      </c>
      <c r="R226" s="305">
        <f t="shared" si="44"/>
        <v>41821.286876088656</v>
      </c>
      <c r="S226" s="299">
        <f t="shared" si="45"/>
        <v>30908.350845362074</v>
      </c>
      <c r="T226" s="305">
        <f t="shared" si="46"/>
        <v>0</v>
      </c>
      <c r="U226" s="428">
        <f t="shared" si="42"/>
        <v>91817.864323288668</v>
      </c>
    </row>
    <row r="227" spans="1:21" x14ac:dyDescent="0.25">
      <c r="A227" s="108">
        <f>Données!A227</f>
        <v>5785</v>
      </c>
      <c r="B227" s="109" t="str">
        <f>Données!B227</f>
        <v>Corcelles-le-Jorat</v>
      </c>
      <c r="C227" s="304">
        <f>Données!C227</f>
        <v>495</v>
      </c>
      <c r="D227" s="300">
        <f t="shared" si="38"/>
        <v>495</v>
      </c>
      <c r="E227" s="300">
        <f t="shared" si="36"/>
        <v>0</v>
      </c>
      <c r="F227" s="305">
        <f t="shared" si="36"/>
        <v>0</v>
      </c>
      <c r="G227" s="299">
        <f t="shared" si="36"/>
        <v>0</v>
      </c>
      <c r="H227" s="300">
        <f t="shared" si="36"/>
        <v>0</v>
      </c>
      <c r="I227" s="305">
        <f t="shared" si="36"/>
        <v>0</v>
      </c>
      <c r="J227" s="305">
        <f t="shared" si="36"/>
        <v>0</v>
      </c>
      <c r="K227" s="306">
        <f t="shared" si="39"/>
        <v>0</v>
      </c>
      <c r="L227" s="305">
        <f t="shared" si="40"/>
        <v>990</v>
      </c>
      <c r="M227" s="431">
        <f>Données!AE227</f>
        <v>0</v>
      </c>
      <c r="N227" s="433">
        <v>0</v>
      </c>
      <c r="O227" s="300">
        <f t="shared" si="37"/>
        <v>495</v>
      </c>
      <c r="P227" s="305">
        <f t="shared" si="41"/>
        <v>990</v>
      </c>
      <c r="Q227" s="306">
        <f t="shared" si="43"/>
        <v>15338.753519334063</v>
      </c>
      <c r="R227" s="305">
        <f t="shared" si="44"/>
        <v>33606.391239714096</v>
      </c>
      <c r="S227" s="299">
        <f t="shared" si="45"/>
        <v>24837.067643594524</v>
      </c>
      <c r="T227" s="305">
        <f t="shared" si="46"/>
        <v>0</v>
      </c>
      <c r="U227" s="428">
        <f t="shared" si="42"/>
        <v>73782.212402642675</v>
      </c>
    </row>
    <row r="228" spans="1:21" x14ac:dyDescent="0.25">
      <c r="A228" s="108">
        <f>Données!A228</f>
        <v>5790</v>
      </c>
      <c r="B228" s="109" t="str">
        <f>Données!B228</f>
        <v>Maracon</v>
      </c>
      <c r="C228" s="304">
        <f>Données!C228</f>
        <v>565</v>
      </c>
      <c r="D228" s="300">
        <f t="shared" si="38"/>
        <v>565</v>
      </c>
      <c r="E228" s="300">
        <f t="shared" si="36"/>
        <v>0</v>
      </c>
      <c r="F228" s="305">
        <f t="shared" si="36"/>
        <v>0</v>
      </c>
      <c r="G228" s="299">
        <f t="shared" si="36"/>
        <v>0</v>
      </c>
      <c r="H228" s="300">
        <f t="shared" si="36"/>
        <v>0</v>
      </c>
      <c r="I228" s="305">
        <f t="shared" si="36"/>
        <v>0</v>
      </c>
      <c r="J228" s="305">
        <f t="shared" si="36"/>
        <v>0</v>
      </c>
      <c r="K228" s="306">
        <f t="shared" si="39"/>
        <v>0</v>
      </c>
      <c r="L228" s="305">
        <f t="shared" si="40"/>
        <v>1130</v>
      </c>
      <c r="M228" s="431">
        <f>Données!AE228</f>
        <v>0</v>
      </c>
      <c r="N228" s="433">
        <v>0</v>
      </c>
      <c r="O228" s="300">
        <f t="shared" si="37"/>
        <v>565</v>
      </c>
      <c r="P228" s="305">
        <f t="shared" si="41"/>
        <v>1130</v>
      </c>
      <c r="Q228" s="306">
        <f t="shared" si="43"/>
        <v>17507.870178633828</v>
      </c>
      <c r="R228" s="305">
        <f t="shared" si="44"/>
        <v>38358.810202905988</v>
      </c>
      <c r="S228" s="299">
        <f t="shared" si="45"/>
        <v>28349.380239658396</v>
      </c>
      <c r="T228" s="305">
        <f t="shared" si="46"/>
        <v>0</v>
      </c>
      <c r="U228" s="428">
        <f t="shared" si="42"/>
        <v>84216.060621198209</v>
      </c>
    </row>
    <row r="229" spans="1:21" x14ac:dyDescent="0.25">
      <c r="A229" s="108">
        <f>Données!A229</f>
        <v>5792</v>
      </c>
      <c r="B229" s="109" t="str">
        <f>Données!B229</f>
        <v>Montpreveyres</v>
      </c>
      <c r="C229" s="304">
        <f>Données!C229</f>
        <v>670</v>
      </c>
      <c r="D229" s="300">
        <f t="shared" si="38"/>
        <v>670</v>
      </c>
      <c r="E229" s="300">
        <f t="shared" si="36"/>
        <v>0</v>
      </c>
      <c r="F229" s="305">
        <f t="shared" si="36"/>
        <v>0</v>
      </c>
      <c r="G229" s="299">
        <f t="shared" si="36"/>
        <v>0</v>
      </c>
      <c r="H229" s="300">
        <f t="shared" si="36"/>
        <v>0</v>
      </c>
      <c r="I229" s="305">
        <f t="shared" si="36"/>
        <v>0</v>
      </c>
      <c r="J229" s="305">
        <f t="shared" si="36"/>
        <v>0</v>
      </c>
      <c r="K229" s="306">
        <f t="shared" si="39"/>
        <v>0</v>
      </c>
      <c r="L229" s="305">
        <f t="shared" si="40"/>
        <v>1340</v>
      </c>
      <c r="M229" s="431">
        <f>Données!AE229</f>
        <v>0</v>
      </c>
      <c r="N229" s="433">
        <v>0</v>
      </c>
      <c r="O229" s="300">
        <f t="shared" si="37"/>
        <v>670</v>
      </c>
      <c r="P229" s="305">
        <f t="shared" si="41"/>
        <v>1340</v>
      </c>
      <c r="Q229" s="306">
        <f t="shared" si="43"/>
        <v>20761.545167583477</v>
      </c>
      <c r="R229" s="305">
        <f t="shared" si="44"/>
        <v>45487.438647693831</v>
      </c>
      <c r="S229" s="299">
        <f t="shared" si="45"/>
        <v>33617.849133754207</v>
      </c>
      <c r="T229" s="305">
        <f t="shared" si="46"/>
        <v>0</v>
      </c>
      <c r="U229" s="428">
        <f t="shared" si="42"/>
        <v>99866.832949031523</v>
      </c>
    </row>
    <row r="230" spans="1:21" x14ac:dyDescent="0.25">
      <c r="A230" s="108">
        <f>Données!A230</f>
        <v>5798</v>
      </c>
      <c r="B230" s="109" t="str">
        <f>Données!B230</f>
        <v>Ropraz</v>
      </c>
      <c r="C230" s="304">
        <f>Données!C230</f>
        <v>535</v>
      </c>
      <c r="D230" s="300">
        <f t="shared" si="38"/>
        <v>535</v>
      </c>
      <c r="E230" s="300">
        <f t="shared" si="36"/>
        <v>0</v>
      </c>
      <c r="F230" s="305">
        <f t="shared" si="36"/>
        <v>0</v>
      </c>
      <c r="G230" s="299">
        <f t="shared" si="36"/>
        <v>0</v>
      </c>
      <c r="H230" s="300">
        <f t="shared" si="36"/>
        <v>0</v>
      </c>
      <c r="I230" s="305">
        <f t="shared" si="36"/>
        <v>0</v>
      </c>
      <c r="J230" s="305">
        <f t="shared" si="36"/>
        <v>0</v>
      </c>
      <c r="K230" s="306">
        <f t="shared" si="39"/>
        <v>0</v>
      </c>
      <c r="L230" s="305">
        <f t="shared" si="40"/>
        <v>1070</v>
      </c>
      <c r="M230" s="431">
        <f>Données!AE230</f>
        <v>0</v>
      </c>
      <c r="N230" s="433">
        <v>0</v>
      </c>
      <c r="O230" s="300">
        <f t="shared" si="37"/>
        <v>535</v>
      </c>
      <c r="P230" s="305">
        <f t="shared" si="41"/>
        <v>1070</v>
      </c>
      <c r="Q230" s="306">
        <f t="shared" si="43"/>
        <v>16578.248753219643</v>
      </c>
      <c r="R230" s="305">
        <f t="shared" si="44"/>
        <v>36322.059218680894</v>
      </c>
      <c r="S230" s="299">
        <f t="shared" si="45"/>
        <v>26844.103412773879</v>
      </c>
      <c r="T230" s="305">
        <f t="shared" si="46"/>
        <v>0</v>
      </c>
      <c r="U230" s="428">
        <f t="shared" si="42"/>
        <v>79744.411384674415</v>
      </c>
    </row>
    <row r="231" spans="1:21" x14ac:dyDescent="0.25">
      <c r="A231" s="108">
        <f>Données!A231</f>
        <v>5799</v>
      </c>
      <c r="B231" s="109" t="str">
        <f>Données!B231</f>
        <v>Servion</v>
      </c>
      <c r="C231" s="304">
        <f>Données!C231</f>
        <v>2241</v>
      </c>
      <c r="D231" s="300">
        <f t="shared" si="38"/>
        <v>1000</v>
      </c>
      <c r="E231" s="300">
        <f t="shared" si="36"/>
        <v>1241</v>
      </c>
      <c r="F231" s="305">
        <f t="shared" si="36"/>
        <v>0</v>
      </c>
      <c r="G231" s="299">
        <f t="shared" si="36"/>
        <v>0</v>
      </c>
      <c r="H231" s="300">
        <f t="shared" si="36"/>
        <v>0</v>
      </c>
      <c r="I231" s="305">
        <f t="shared" si="36"/>
        <v>0</v>
      </c>
      <c r="J231" s="305">
        <f t="shared" si="36"/>
        <v>0</v>
      </c>
      <c r="K231" s="306">
        <f t="shared" si="39"/>
        <v>0</v>
      </c>
      <c r="L231" s="305">
        <f t="shared" si="40"/>
        <v>5723</v>
      </c>
      <c r="M231" s="431">
        <f>Données!AE231</f>
        <v>0</v>
      </c>
      <c r="N231" s="433">
        <v>0</v>
      </c>
      <c r="O231" s="300">
        <f t="shared" si="37"/>
        <v>2241</v>
      </c>
      <c r="P231" s="305">
        <f t="shared" si="41"/>
        <v>5723</v>
      </c>
      <c r="Q231" s="306">
        <f t="shared" si="43"/>
        <v>69442.72047843966</v>
      </c>
      <c r="R231" s="305">
        <f t="shared" si="44"/>
        <v>152145.29852161475</v>
      </c>
      <c r="S231" s="299">
        <f t="shared" si="45"/>
        <v>143578.32133766814</v>
      </c>
      <c r="T231" s="305">
        <f t="shared" si="46"/>
        <v>0</v>
      </c>
      <c r="U231" s="428">
        <f t="shared" si="42"/>
        <v>365166.34033772256</v>
      </c>
    </row>
    <row r="232" spans="1:21" x14ac:dyDescent="0.25">
      <c r="A232" s="108">
        <f>Données!A232</f>
        <v>5803</v>
      </c>
      <c r="B232" s="109" t="str">
        <f>Données!B232</f>
        <v>Vulliens</v>
      </c>
      <c r="C232" s="304">
        <f>Données!C232</f>
        <v>630</v>
      </c>
      <c r="D232" s="300">
        <f t="shared" si="38"/>
        <v>630</v>
      </c>
      <c r="E232" s="300">
        <f t="shared" si="36"/>
        <v>0</v>
      </c>
      <c r="F232" s="305">
        <f t="shared" si="36"/>
        <v>0</v>
      </c>
      <c r="G232" s="299">
        <f t="shared" si="36"/>
        <v>0</v>
      </c>
      <c r="H232" s="300">
        <f t="shared" si="36"/>
        <v>0</v>
      </c>
      <c r="I232" s="305">
        <f t="shared" si="36"/>
        <v>0</v>
      </c>
      <c r="J232" s="305">
        <f t="shared" si="36"/>
        <v>0</v>
      </c>
      <c r="K232" s="306">
        <f t="shared" si="39"/>
        <v>0</v>
      </c>
      <c r="L232" s="305">
        <f t="shared" si="40"/>
        <v>1260</v>
      </c>
      <c r="M232" s="431">
        <f>Données!AE232</f>
        <v>0</v>
      </c>
      <c r="N232" s="433">
        <v>0</v>
      </c>
      <c r="O232" s="300">
        <f t="shared" si="37"/>
        <v>630</v>
      </c>
      <c r="P232" s="305">
        <f t="shared" si="41"/>
        <v>1260</v>
      </c>
      <c r="Q232" s="306">
        <f t="shared" si="43"/>
        <v>19522.049933697897</v>
      </c>
      <c r="R232" s="305">
        <f t="shared" si="44"/>
        <v>42771.770668727033</v>
      </c>
      <c r="S232" s="299">
        <f t="shared" si="45"/>
        <v>31610.813364574849</v>
      </c>
      <c r="T232" s="305">
        <f t="shared" si="46"/>
        <v>0</v>
      </c>
      <c r="U232" s="428">
        <f t="shared" si="42"/>
        <v>93904.633966999783</v>
      </c>
    </row>
    <row r="233" spans="1:21" x14ac:dyDescent="0.25">
      <c r="A233" s="108">
        <f>Données!A233</f>
        <v>5804</v>
      </c>
      <c r="B233" s="109" t="str">
        <f>Données!B233</f>
        <v>Jorat-Menthue</v>
      </c>
      <c r="C233" s="304">
        <f>Données!C233</f>
        <v>1564</v>
      </c>
      <c r="D233" s="300">
        <f t="shared" si="38"/>
        <v>1000</v>
      </c>
      <c r="E233" s="300">
        <f t="shared" si="36"/>
        <v>564</v>
      </c>
      <c r="F233" s="305">
        <f t="shared" si="36"/>
        <v>0</v>
      </c>
      <c r="G233" s="299">
        <f t="shared" si="36"/>
        <v>0</v>
      </c>
      <c r="H233" s="300">
        <f t="shared" ref="E233:J273" si="47">IF($C233&lt;H$4,0,IF($C233&gt;H$5,H$5-H$4,$C233-H$4))</f>
        <v>0</v>
      </c>
      <c r="I233" s="305">
        <f t="shared" si="47"/>
        <v>0</v>
      </c>
      <c r="J233" s="305">
        <f t="shared" si="47"/>
        <v>0</v>
      </c>
      <c r="K233" s="306">
        <f t="shared" si="39"/>
        <v>0</v>
      </c>
      <c r="L233" s="305">
        <f t="shared" si="40"/>
        <v>3692</v>
      </c>
      <c r="M233" s="431">
        <f>Données!AE233</f>
        <v>0</v>
      </c>
      <c r="N233" s="433">
        <v>0</v>
      </c>
      <c r="O233" s="300">
        <f t="shared" si="37"/>
        <v>1564</v>
      </c>
      <c r="P233" s="305">
        <f t="shared" si="41"/>
        <v>3692</v>
      </c>
      <c r="Q233" s="306">
        <f t="shared" si="43"/>
        <v>48464.263644926206</v>
      </c>
      <c r="R233" s="305">
        <f t="shared" si="44"/>
        <v>106182.61797760172</v>
      </c>
      <c r="S233" s="299">
        <f t="shared" si="45"/>
        <v>92624.700747627256</v>
      </c>
      <c r="T233" s="305">
        <f t="shared" si="46"/>
        <v>0</v>
      </c>
      <c r="U233" s="428">
        <f t="shared" si="42"/>
        <v>247271.5823701552</v>
      </c>
    </row>
    <row r="234" spans="1:21" x14ac:dyDescent="0.25">
      <c r="A234" s="108">
        <f>Données!A234</f>
        <v>5805</v>
      </c>
      <c r="B234" s="109" t="str">
        <f>Données!B234</f>
        <v>Oron</v>
      </c>
      <c r="C234" s="304">
        <f>Données!C234</f>
        <v>6451</v>
      </c>
      <c r="D234" s="300">
        <f t="shared" si="38"/>
        <v>1000</v>
      </c>
      <c r="E234" s="300">
        <f t="shared" si="47"/>
        <v>2000</v>
      </c>
      <c r="F234" s="305">
        <f t="shared" si="47"/>
        <v>2000</v>
      </c>
      <c r="G234" s="299">
        <f t="shared" si="47"/>
        <v>1451</v>
      </c>
      <c r="H234" s="300">
        <f t="shared" si="47"/>
        <v>0</v>
      </c>
      <c r="I234" s="305">
        <f t="shared" si="47"/>
        <v>0</v>
      </c>
      <c r="J234" s="305">
        <f t="shared" si="47"/>
        <v>0</v>
      </c>
      <c r="K234" s="306">
        <f t="shared" si="39"/>
        <v>0</v>
      </c>
      <c r="L234" s="305">
        <f t="shared" si="40"/>
        <v>20804</v>
      </c>
      <c r="M234" s="431">
        <f>Données!AE234</f>
        <v>0</v>
      </c>
      <c r="N234" s="433">
        <v>0</v>
      </c>
      <c r="O234" s="300">
        <f t="shared" si="37"/>
        <v>6451</v>
      </c>
      <c r="P234" s="305">
        <f t="shared" si="41"/>
        <v>20804</v>
      </c>
      <c r="Q234" s="306">
        <f t="shared" si="43"/>
        <v>199899.59384489703</v>
      </c>
      <c r="R234" s="305">
        <f t="shared" si="44"/>
        <v>437969.35330786998</v>
      </c>
      <c r="S234" s="299">
        <f t="shared" si="45"/>
        <v>521929.65177509142</v>
      </c>
      <c r="T234" s="305">
        <f t="shared" si="46"/>
        <v>0</v>
      </c>
      <c r="U234" s="428">
        <f t="shared" si="42"/>
        <v>1159798.5989278583</v>
      </c>
    </row>
    <row r="235" spans="1:21" x14ac:dyDescent="0.25">
      <c r="A235" s="108">
        <f>Données!A235</f>
        <v>5806</v>
      </c>
      <c r="B235" s="109" t="str">
        <f>Données!B235</f>
        <v>Jorat-Mézières</v>
      </c>
      <c r="C235" s="304">
        <f>Données!C235</f>
        <v>3209</v>
      </c>
      <c r="D235" s="300">
        <f t="shared" si="38"/>
        <v>1000</v>
      </c>
      <c r="E235" s="300">
        <f t="shared" si="47"/>
        <v>2000</v>
      </c>
      <c r="F235" s="305">
        <f t="shared" si="47"/>
        <v>209</v>
      </c>
      <c r="G235" s="299">
        <f t="shared" si="47"/>
        <v>0</v>
      </c>
      <c r="H235" s="300">
        <f t="shared" si="47"/>
        <v>0</v>
      </c>
      <c r="I235" s="305">
        <f t="shared" si="47"/>
        <v>0</v>
      </c>
      <c r="J235" s="305">
        <f t="shared" si="47"/>
        <v>0</v>
      </c>
      <c r="K235" s="306">
        <f t="shared" si="39"/>
        <v>0</v>
      </c>
      <c r="L235" s="305">
        <f t="shared" si="40"/>
        <v>8731.5</v>
      </c>
      <c r="M235" s="431">
        <f>Données!AE235</f>
        <v>0</v>
      </c>
      <c r="N235" s="433">
        <v>0</v>
      </c>
      <c r="O235" s="300">
        <f t="shared" si="37"/>
        <v>3209</v>
      </c>
      <c r="P235" s="305">
        <f t="shared" si="41"/>
        <v>8731.5</v>
      </c>
      <c r="Q235" s="306">
        <f t="shared" si="43"/>
        <v>99438.505138470719</v>
      </c>
      <c r="R235" s="305">
        <f t="shared" si="44"/>
        <v>217864.4636126112</v>
      </c>
      <c r="S235" s="299">
        <f t="shared" si="45"/>
        <v>219055.41023236929</v>
      </c>
      <c r="T235" s="305">
        <f t="shared" si="46"/>
        <v>0</v>
      </c>
      <c r="U235" s="428">
        <f t="shared" si="42"/>
        <v>536358.37898345117</v>
      </c>
    </row>
    <row r="236" spans="1:21" x14ac:dyDescent="0.25">
      <c r="A236" s="108">
        <f>Données!A236</f>
        <v>5812</v>
      </c>
      <c r="B236" s="109" t="str">
        <f>Données!B236</f>
        <v>Champtauroz</v>
      </c>
      <c r="C236" s="304">
        <f>Données!C236</f>
        <v>184</v>
      </c>
      <c r="D236" s="300">
        <f t="shared" si="38"/>
        <v>184</v>
      </c>
      <c r="E236" s="300">
        <f t="shared" si="47"/>
        <v>0</v>
      </c>
      <c r="F236" s="305">
        <f t="shared" si="47"/>
        <v>0</v>
      </c>
      <c r="G236" s="299">
        <f t="shared" si="47"/>
        <v>0</v>
      </c>
      <c r="H236" s="300">
        <f t="shared" si="47"/>
        <v>0</v>
      </c>
      <c r="I236" s="305">
        <f t="shared" si="47"/>
        <v>0</v>
      </c>
      <c r="J236" s="305">
        <f t="shared" si="47"/>
        <v>0</v>
      </c>
      <c r="K236" s="306">
        <f t="shared" si="39"/>
        <v>0</v>
      </c>
      <c r="L236" s="305">
        <f t="shared" si="40"/>
        <v>368</v>
      </c>
      <c r="M236" s="431">
        <f>Données!AE236</f>
        <v>0</v>
      </c>
      <c r="N236" s="433">
        <v>0</v>
      </c>
      <c r="O236" s="300">
        <f t="shared" si="37"/>
        <v>184</v>
      </c>
      <c r="P236" s="305">
        <f t="shared" si="41"/>
        <v>368</v>
      </c>
      <c r="Q236" s="306">
        <f t="shared" si="43"/>
        <v>5701.6780758736713</v>
      </c>
      <c r="R236" s="305">
        <f t="shared" si="44"/>
        <v>12492.072703247261</v>
      </c>
      <c r="S236" s="299">
        <f t="shared" si="45"/>
        <v>9232.3645382250361</v>
      </c>
      <c r="T236" s="305">
        <f t="shared" si="46"/>
        <v>0</v>
      </c>
      <c r="U236" s="428">
        <f t="shared" si="42"/>
        <v>27426.115317345968</v>
      </c>
    </row>
    <row r="237" spans="1:21" x14ac:dyDescent="0.25">
      <c r="A237" s="108">
        <f>Données!A237</f>
        <v>5813</v>
      </c>
      <c r="B237" s="109" t="str">
        <f>Données!B237</f>
        <v>Chevroux</v>
      </c>
      <c r="C237" s="304">
        <f>Données!C237</f>
        <v>487</v>
      </c>
      <c r="D237" s="300">
        <f t="shared" si="38"/>
        <v>487</v>
      </c>
      <c r="E237" s="300">
        <f t="shared" si="47"/>
        <v>0</v>
      </c>
      <c r="F237" s="305">
        <f t="shared" si="47"/>
        <v>0</v>
      </c>
      <c r="G237" s="299">
        <f t="shared" si="47"/>
        <v>0</v>
      </c>
      <c r="H237" s="300">
        <f t="shared" si="47"/>
        <v>0</v>
      </c>
      <c r="I237" s="305">
        <f t="shared" si="47"/>
        <v>0</v>
      </c>
      <c r="J237" s="305">
        <f t="shared" si="47"/>
        <v>0</v>
      </c>
      <c r="K237" s="306">
        <f t="shared" si="39"/>
        <v>0</v>
      </c>
      <c r="L237" s="305">
        <f t="shared" si="40"/>
        <v>974</v>
      </c>
      <c r="M237" s="431">
        <f>Données!AE237</f>
        <v>0</v>
      </c>
      <c r="N237" s="433">
        <v>0</v>
      </c>
      <c r="O237" s="300">
        <f t="shared" si="37"/>
        <v>487</v>
      </c>
      <c r="P237" s="305">
        <f t="shared" si="41"/>
        <v>974</v>
      </c>
      <c r="Q237" s="306">
        <f t="shared" si="43"/>
        <v>15090.854472556946</v>
      </c>
      <c r="R237" s="305">
        <f t="shared" si="44"/>
        <v>33063.257643920741</v>
      </c>
      <c r="S237" s="299">
        <f t="shared" si="45"/>
        <v>24435.660489758655</v>
      </c>
      <c r="T237" s="305">
        <f t="shared" si="46"/>
        <v>0</v>
      </c>
      <c r="U237" s="428">
        <f t="shared" si="42"/>
        <v>72589.772606236336</v>
      </c>
    </row>
    <row r="238" spans="1:21" x14ac:dyDescent="0.25">
      <c r="A238" s="108">
        <f>Données!A238</f>
        <v>5816</v>
      </c>
      <c r="B238" s="109" t="str">
        <f>Données!B238</f>
        <v>Corcelles-près-Payerne</v>
      </c>
      <c r="C238" s="304">
        <f>Données!C238</f>
        <v>3129</v>
      </c>
      <c r="D238" s="300">
        <f t="shared" si="38"/>
        <v>1000</v>
      </c>
      <c r="E238" s="300">
        <f t="shared" si="47"/>
        <v>2000</v>
      </c>
      <c r="F238" s="305">
        <f t="shared" si="47"/>
        <v>129</v>
      </c>
      <c r="G238" s="299">
        <f t="shared" si="47"/>
        <v>0</v>
      </c>
      <c r="H238" s="300">
        <f t="shared" si="47"/>
        <v>0</v>
      </c>
      <c r="I238" s="305">
        <f t="shared" si="47"/>
        <v>0</v>
      </c>
      <c r="J238" s="305">
        <f t="shared" si="47"/>
        <v>0</v>
      </c>
      <c r="K238" s="306">
        <f t="shared" si="39"/>
        <v>0</v>
      </c>
      <c r="L238" s="305">
        <f t="shared" si="40"/>
        <v>8451.5</v>
      </c>
      <c r="M238" s="431">
        <f>Données!AE238</f>
        <v>0</v>
      </c>
      <c r="N238" s="433">
        <v>0</v>
      </c>
      <c r="O238" s="300">
        <f t="shared" si="37"/>
        <v>3129</v>
      </c>
      <c r="P238" s="305">
        <f t="shared" si="41"/>
        <v>8451.5</v>
      </c>
      <c r="Q238" s="306">
        <f t="shared" si="43"/>
        <v>96959.514670699558</v>
      </c>
      <c r="R238" s="305">
        <f t="shared" si="44"/>
        <v>212433.12765467761</v>
      </c>
      <c r="S238" s="299">
        <f t="shared" si="45"/>
        <v>212030.78504024155</v>
      </c>
      <c r="T238" s="305">
        <f t="shared" si="46"/>
        <v>0</v>
      </c>
      <c r="U238" s="428">
        <f t="shared" si="42"/>
        <v>521423.4273656187</v>
      </c>
    </row>
    <row r="239" spans="1:21" x14ac:dyDescent="0.25">
      <c r="A239" s="108">
        <f>Données!A239</f>
        <v>5817</v>
      </c>
      <c r="B239" s="109" t="str">
        <f>Données!B239</f>
        <v>Grandcour</v>
      </c>
      <c r="C239" s="304">
        <f>Données!C239</f>
        <v>970</v>
      </c>
      <c r="D239" s="300">
        <f t="shared" si="38"/>
        <v>970</v>
      </c>
      <c r="E239" s="300">
        <f t="shared" si="47"/>
        <v>0</v>
      </c>
      <c r="F239" s="305">
        <f t="shared" si="47"/>
        <v>0</v>
      </c>
      <c r="G239" s="299">
        <f t="shared" si="47"/>
        <v>0</v>
      </c>
      <c r="H239" s="300">
        <f t="shared" si="47"/>
        <v>0</v>
      </c>
      <c r="I239" s="305">
        <f t="shared" si="47"/>
        <v>0</v>
      </c>
      <c r="J239" s="305">
        <f t="shared" si="47"/>
        <v>0</v>
      </c>
      <c r="K239" s="306">
        <f t="shared" si="39"/>
        <v>0</v>
      </c>
      <c r="L239" s="305">
        <f t="shared" si="40"/>
        <v>1940</v>
      </c>
      <c r="M239" s="431">
        <f>Données!AE239</f>
        <v>0</v>
      </c>
      <c r="N239" s="433">
        <v>0</v>
      </c>
      <c r="O239" s="300">
        <f t="shared" si="37"/>
        <v>970</v>
      </c>
      <c r="P239" s="305">
        <f t="shared" si="41"/>
        <v>1940</v>
      </c>
      <c r="Q239" s="306">
        <f t="shared" si="43"/>
        <v>30057.759421725335</v>
      </c>
      <c r="R239" s="305">
        <f t="shared" si="44"/>
        <v>65854.9484899448</v>
      </c>
      <c r="S239" s="299">
        <f t="shared" si="45"/>
        <v>48670.617402599368</v>
      </c>
      <c r="T239" s="305">
        <f t="shared" si="46"/>
        <v>0</v>
      </c>
      <c r="U239" s="428">
        <f t="shared" si="42"/>
        <v>144583.32531426952</v>
      </c>
    </row>
    <row r="240" spans="1:21" x14ac:dyDescent="0.25">
      <c r="A240" s="108">
        <f>Données!A240</f>
        <v>5819</v>
      </c>
      <c r="B240" s="109" t="str">
        <f>Données!B240</f>
        <v>Henniez</v>
      </c>
      <c r="C240" s="304">
        <f>Données!C240</f>
        <v>464</v>
      </c>
      <c r="D240" s="300">
        <f t="shared" si="38"/>
        <v>464</v>
      </c>
      <c r="E240" s="300">
        <f t="shared" si="47"/>
        <v>0</v>
      </c>
      <c r="F240" s="305">
        <f t="shared" si="47"/>
        <v>0</v>
      </c>
      <c r="G240" s="299">
        <f t="shared" si="47"/>
        <v>0</v>
      </c>
      <c r="H240" s="300">
        <f t="shared" si="47"/>
        <v>0</v>
      </c>
      <c r="I240" s="305">
        <f t="shared" si="47"/>
        <v>0</v>
      </c>
      <c r="J240" s="305">
        <f t="shared" si="47"/>
        <v>0</v>
      </c>
      <c r="K240" s="306">
        <f t="shared" si="39"/>
        <v>0</v>
      </c>
      <c r="L240" s="305">
        <f t="shared" si="40"/>
        <v>928</v>
      </c>
      <c r="M240" s="431">
        <f>Données!AE240</f>
        <v>0</v>
      </c>
      <c r="N240" s="433">
        <v>0</v>
      </c>
      <c r="O240" s="300">
        <f t="shared" si="37"/>
        <v>464</v>
      </c>
      <c r="P240" s="305">
        <f t="shared" si="41"/>
        <v>928</v>
      </c>
      <c r="Q240" s="306">
        <f t="shared" si="43"/>
        <v>14378.144713072737</v>
      </c>
      <c r="R240" s="305">
        <f t="shared" si="44"/>
        <v>31501.748556014831</v>
      </c>
      <c r="S240" s="299">
        <f t="shared" si="45"/>
        <v>23281.614922480523</v>
      </c>
      <c r="T240" s="305">
        <f t="shared" si="46"/>
        <v>0</v>
      </c>
      <c r="U240" s="428">
        <f t="shared" si="42"/>
        <v>69161.508191568093</v>
      </c>
    </row>
    <row r="241" spans="1:21" x14ac:dyDescent="0.25">
      <c r="A241" s="108">
        <f>Données!A241</f>
        <v>5821</v>
      </c>
      <c r="B241" s="109" t="str">
        <f>Données!B241</f>
        <v>Missy</v>
      </c>
      <c r="C241" s="304">
        <f>Données!C241</f>
        <v>379</v>
      </c>
      <c r="D241" s="300">
        <f t="shared" si="38"/>
        <v>379</v>
      </c>
      <c r="E241" s="300">
        <f t="shared" si="47"/>
        <v>0</v>
      </c>
      <c r="F241" s="305">
        <f t="shared" si="47"/>
        <v>0</v>
      </c>
      <c r="G241" s="299">
        <f t="shared" si="47"/>
        <v>0</v>
      </c>
      <c r="H241" s="300">
        <f t="shared" si="47"/>
        <v>0</v>
      </c>
      <c r="I241" s="305">
        <f t="shared" si="47"/>
        <v>0</v>
      </c>
      <c r="J241" s="305">
        <f t="shared" si="47"/>
        <v>0</v>
      </c>
      <c r="K241" s="306">
        <f t="shared" si="39"/>
        <v>0</v>
      </c>
      <c r="L241" s="305">
        <f t="shared" si="40"/>
        <v>758</v>
      </c>
      <c r="M241" s="431">
        <f>Données!AE241</f>
        <v>0</v>
      </c>
      <c r="N241" s="433">
        <v>0</v>
      </c>
      <c r="O241" s="300">
        <f t="shared" si="37"/>
        <v>379</v>
      </c>
      <c r="P241" s="305">
        <f t="shared" si="41"/>
        <v>758</v>
      </c>
      <c r="Q241" s="306">
        <f t="shared" si="43"/>
        <v>11744.217341065878</v>
      </c>
      <c r="R241" s="305">
        <f t="shared" si="44"/>
        <v>25730.954100710391</v>
      </c>
      <c r="S241" s="299">
        <f t="shared" si="45"/>
        <v>19016.663912974393</v>
      </c>
      <c r="T241" s="305">
        <f t="shared" si="46"/>
        <v>0</v>
      </c>
      <c r="U241" s="428">
        <f t="shared" si="42"/>
        <v>56491.835354750663</v>
      </c>
    </row>
    <row r="242" spans="1:21" x14ac:dyDescent="0.25">
      <c r="A242" s="108">
        <f>Données!A242</f>
        <v>5822</v>
      </c>
      <c r="B242" s="109" t="str">
        <f>Données!B242</f>
        <v>Payerne</v>
      </c>
      <c r="C242" s="304">
        <f>Données!C242</f>
        <v>10972</v>
      </c>
      <c r="D242" s="300">
        <f t="shared" si="38"/>
        <v>1000</v>
      </c>
      <c r="E242" s="300">
        <f t="shared" si="47"/>
        <v>2000</v>
      </c>
      <c r="F242" s="305">
        <f t="shared" si="47"/>
        <v>2000</v>
      </c>
      <c r="G242" s="299">
        <f t="shared" si="47"/>
        <v>5972</v>
      </c>
      <c r="H242" s="300">
        <f t="shared" si="47"/>
        <v>0</v>
      </c>
      <c r="I242" s="305">
        <f t="shared" si="47"/>
        <v>0</v>
      </c>
      <c r="J242" s="305">
        <f t="shared" si="47"/>
        <v>0</v>
      </c>
      <c r="K242" s="306">
        <f t="shared" si="39"/>
        <v>0</v>
      </c>
      <c r="L242" s="305">
        <f t="shared" si="40"/>
        <v>38888</v>
      </c>
      <c r="M242" s="431">
        <f>Données!AE242</f>
        <v>0</v>
      </c>
      <c r="N242" s="433">
        <v>0</v>
      </c>
      <c r="O242" s="300">
        <f t="shared" si="37"/>
        <v>10972</v>
      </c>
      <c r="P242" s="305">
        <f t="shared" si="41"/>
        <v>38888</v>
      </c>
      <c r="Q242" s="306">
        <f t="shared" si="43"/>
        <v>339993.54265481478</v>
      </c>
      <c r="R242" s="305">
        <f t="shared" si="44"/>
        <v>744907.72663059214</v>
      </c>
      <c r="S242" s="299">
        <f t="shared" si="45"/>
        <v>975620.0873980847</v>
      </c>
      <c r="T242" s="305">
        <f t="shared" si="46"/>
        <v>0</v>
      </c>
      <c r="U242" s="428">
        <f t="shared" si="42"/>
        <v>2060521.3566834917</v>
      </c>
    </row>
    <row r="243" spans="1:21" x14ac:dyDescent="0.25">
      <c r="A243" s="108">
        <f>Données!A243</f>
        <v>5827</v>
      </c>
      <c r="B243" s="109" t="str">
        <f>Données!B243</f>
        <v>Trey</v>
      </c>
      <c r="C243" s="304">
        <f>Données!C243</f>
        <v>305</v>
      </c>
      <c r="D243" s="300">
        <f t="shared" si="38"/>
        <v>305</v>
      </c>
      <c r="E243" s="300">
        <f t="shared" si="47"/>
        <v>0</v>
      </c>
      <c r="F243" s="305">
        <f t="shared" si="47"/>
        <v>0</v>
      </c>
      <c r="G243" s="299">
        <f t="shared" si="47"/>
        <v>0</v>
      </c>
      <c r="H243" s="300">
        <f t="shared" si="47"/>
        <v>0</v>
      </c>
      <c r="I243" s="305">
        <f t="shared" si="47"/>
        <v>0</v>
      </c>
      <c r="J243" s="305">
        <f t="shared" si="47"/>
        <v>0</v>
      </c>
      <c r="K243" s="306">
        <f t="shared" si="39"/>
        <v>0</v>
      </c>
      <c r="L243" s="305">
        <f t="shared" si="40"/>
        <v>610</v>
      </c>
      <c r="M243" s="431">
        <f>Données!AE243</f>
        <v>0</v>
      </c>
      <c r="N243" s="433">
        <v>0</v>
      </c>
      <c r="O243" s="300">
        <f t="shared" si="37"/>
        <v>305</v>
      </c>
      <c r="P243" s="305">
        <f t="shared" si="41"/>
        <v>610</v>
      </c>
      <c r="Q243" s="306">
        <f t="shared" si="43"/>
        <v>9451.1511583775537</v>
      </c>
      <c r="R243" s="305">
        <f t="shared" si="44"/>
        <v>20706.968339621817</v>
      </c>
      <c r="S243" s="299">
        <f t="shared" si="45"/>
        <v>15303.647739992586</v>
      </c>
      <c r="T243" s="305">
        <f t="shared" si="46"/>
        <v>0</v>
      </c>
      <c r="U243" s="428">
        <f t="shared" si="42"/>
        <v>45461.767237991953</v>
      </c>
    </row>
    <row r="244" spans="1:21" x14ac:dyDescent="0.25">
      <c r="A244" s="108">
        <f>Données!A244</f>
        <v>5828</v>
      </c>
      <c r="B244" s="109" t="str">
        <f>Données!B244</f>
        <v>Treytorrens (Payerne)</v>
      </c>
      <c r="C244" s="304">
        <f>Données!C244</f>
        <v>108</v>
      </c>
      <c r="D244" s="300">
        <f t="shared" si="38"/>
        <v>108</v>
      </c>
      <c r="E244" s="300">
        <f t="shared" si="47"/>
        <v>0</v>
      </c>
      <c r="F244" s="305">
        <f t="shared" si="47"/>
        <v>0</v>
      </c>
      <c r="G244" s="299">
        <f t="shared" si="47"/>
        <v>0</v>
      </c>
      <c r="H244" s="300">
        <f t="shared" si="47"/>
        <v>0</v>
      </c>
      <c r="I244" s="305">
        <f t="shared" si="47"/>
        <v>0</v>
      </c>
      <c r="J244" s="305">
        <f t="shared" si="47"/>
        <v>0</v>
      </c>
      <c r="K244" s="306">
        <f t="shared" si="39"/>
        <v>0</v>
      </c>
      <c r="L244" s="305">
        <f t="shared" si="40"/>
        <v>216</v>
      </c>
      <c r="M244" s="431">
        <f>Données!AE244</f>
        <v>0</v>
      </c>
      <c r="N244" s="433">
        <v>0</v>
      </c>
      <c r="O244" s="300">
        <f t="shared" si="37"/>
        <v>108</v>
      </c>
      <c r="P244" s="305">
        <f t="shared" si="41"/>
        <v>216</v>
      </c>
      <c r="Q244" s="306">
        <f t="shared" si="43"/>
        <v>3346.637131491068</v>
      </c>
      <c r="R244" s="305">
        <f t="shared" si="44"/>
        <v>7332.3035432103488</v>
      </c>
      <c r="S244" s="299">
        <f t="shared" si="45"/>
        <v>5418.9965767842596</v>
      </c>
      <c r="T244" s="305">
        <f t="shared" si="46"/>
        <v>0</v>
      </c>
      <c r="U244" s="428">
        <f t="shared" si="42"/>
        <v>16097.937251485677</v>
      </c>
    </row>
    <row r="245" spans="1:21" x14ac:dyDescent="0.25">
      <c r="A245" s="108">
        <f>Données!A245</f>
        <v>5830</v>
      </c>
      <c r="B245" s="109" t="str">
        <f>Données!B245</f>
        <v>Villarzel</v>
      </c>
      <c r="C245" s="304">
        <f>Données!C245</f>
        <v>522</v>
      </c>
      <c r="D245" s="300">
        <f t="shared" si="38"/>
        <v>522</v>
      </c>
      <c r="E245" s="300">
        <f t="shared" si="47"/>
        <v>0</v>
      </c>
      <c r="F245" s="305">
        <f t="shared" si="47"/>
        <v>0</v>
      </c>
      <c r="G245" s="299">
        <f t="shared" si="47"/>
        <v>0</v>
      </c>
      <c r="H245" s="300">
        <f t="shared" si="47"/>
        <v>0</v>
      </c>
      <c r="I245" s="305">
        <f t="shared" si="47"/>
        <v>0</v>
      </c>
      <c r="J245" s="305">
        <f t="shared" si="47"/>
        <v>0</v>
      </c>
      <c r="K245" s="306">
        <f t="shared" si="39"/>
        <v>0</v>
      </c>
      <c r="L245" s="305">
        <f t="shared" si="40"/>
        <v>1044</v>
      </c>
      <c r="M245" s="431">
        <f>Données!AE245</f>
        <v>0</v>
      </c>
      <c r="N245" s="433">
        <v>0</v>
      </c>
      <c r="O245" s="300">
        <f t="shared" si="37"/>
        <v>522</v>
      </c>
      <c r="P245" s="305">
        <f t="shared" si="41"/>
        <v>1044</v>
      </c>
      <c r="Q245" s="306">
        <f t="shared" si="43"/>
        <v>16175.412802206829</v>
      </c>
      <c r="R245" s="305">
        <f t="shared" si="44"/>
        <v>35439.467125516683</v>
      </c>
      <c r="S245" s="299">
        <f t="shared" si="45"/>
        <v>26191.816787790591</v>
      </c>
      <c r="T245" s="305">
        <f t="shared" si="46"/>
        <v>0</v>
      </c>
      <c r="U245" s="428">
        <f t="shared" si="42"/>
        <v>77806.696715514103</v>
      </c>
    </row>
    <row r="246" spans="1:21" x14ac:dyDescent="0.25">
      <c r="A246" s="108">
        <f>Données!A246</f>
        <v>5831</v>
      </c>
      <c r="B246" s="109" t="str">
        <f>Données!B246</f>
        <v>Valbroye</v>
      </c>
      <c r="C246" s="304">
        <f>Données!C246</f>
        <v>3416</v>
      </c>
      <c r="D246" s="300">
        <f t="shared" si="38"/>
        <v>1000</v>
      </c>
      <c r="E246" s="300">
        <f t="shared" si="47"/>
        <v>2000</v>
      </c>
      <c r="F246" s="305">
        <f t="shared" si="47"/>
        <v>416</v>
      </c>
      <c r="G246" s="299">
        <f t="shared" si="47"/>
        <v>0</v>
      </c>
      <c r="H246" s="300">
        <f t="shared" si="47"/>
        <v>0</v>
      </c>
      <c r="I246" s="305">
        <f t="shared" si="47"/>
        <v>0</v>
      </c>
      <c r="J246" s="305">
        <f t="shared" si="47"/>
        <v>0</v>
      </c>
      <c r="K246" s="306">
        <f t="shared" si="39"/>
        <v>0</v>
      </c>
      <c r="L246" s="305">
        <f t="shared" si="40"/>
        <v>9456</v>
      </c>
      <c r="M246" s="431">
        <f>Données!AE246</f>
        <v>0</v>
      </c>
      <c r="N246" s="433">
        <v>0</v>
      </c>
      <c r="O246" s="300">
        <f t="shared" si="37"/>
        <v>3416</v>
      </c>
      <c r="P246" s="305">
        <f t="shared" si="41"/>
        <v>9456</v>
      </c>
      <c r="Q246" s="306">
        <f t="shared" si="43"/>
        <v>105852.8929738286</v>
      </c>
      <c r="R246" s="305">
        <f t="shared" si="44"/>
        <v>231918.04540376438</v>
      </c>
      <c r="S246" s="299">
        <f t="shared" si="45"/>
        <v>237231.62791699983</v>
      </c>
      <c r="T246" s="305">
        <f t="shared" si="46"/>
        <v>0</v>
      </c>
      <c r="U246" s="428">
        <f t="shared" si="42"/>
        <v>575002.56629459281</v>
      </c>
    </row>
    <row r="247" spans="1:21" x14ac:dyDescent="0.25">
      <c r="A247" s="108">
        <f>Données!A247</f>
        <v>5841</v>
      </c>
      <c r="B247" s="109" t="str">
        <f>Données!B247</f>
        <v>Château-d'Oex</v>
      </c>
      <c r="C247" s="304">
        <f>Données!C247</f>
        <v>3689</v>
      </c>
      <c r="D247" s="300">
        <f t="shared" si="38"/>
        <v>1000</v>
      </c>
      <c r="E247" s="300">
        <f t="shared" si="47"/>
        <v>2000</v>
      </c>
      <c r="F247" s="305">
        <f t="shared" si="47"/>
        <v>689</v>
      </c>
      <c r="G247" s="299">
        <f t="shared" si="47"/>
        <v>0</v>
      </c>
      <c r="H247" s="300">
        <f t="shared" si="47"/>
        <v>0</v>
      </c>
      <c r="I247" s="305">
        <f t="shared" si="47"/>
        <v>0</v>
      </c>
      <c r="J247" s="305">
        <f t="shared" si="47"/>
        <v>0</v>
      </c>
      <c r="K247" s="306">
        <f t="shared" si="39"/>
        <v>0</v>
      </c>
      <c r="L247" s="305">
        <f t="shared" si="40"/>
        <v>10411.5</v>
      </c>
      <c r="M247" s="431">
        <f>Données!AE247</f>
        <v>0</v>
      </c>
      <c r="N247" s="433">
        <v>0</v>
      </c>
      <c r="O247" s="300">
        <f t="shared" si="37"/>
        <v>3689</v>
      </c>
      <c r="P247" s="305">
        <f t="shared" si="41"/>
        <v>10411.5</v>
      </c>
      <c r="Q247" s="306">
        <f t="shared" si="43"/>
        <v>114312.44794509768</v>
      </c>
      <c r="R247" s="305">
        <f t="shared" si="44"/>
        <v>250452.47936021275</v>
      </c>
      <c r="S247" s="299">
        <f t="shared" si="45"/>
        <v>261203.16138513575</v>
      </c>
      <c r="T247" s="305">
        <f t="shared" si="46"/>
        <v>0</v>
      </c>
      <c r="U247" s="428">
        <f t="shared" si="42"/>
        <v>625968.08869044622</v>
      </c>
    </row>
    <row r="248" spans="1:21" x14ac:dyDescent="0.25">
      <c r="A248" s="108">
        <f>Données!A248</f>
        <v>5842</v>
      </c>
      <c r="B248" s="109" t="str">
        <f>Données!B248</f>
        <v>Rossinière</v>
      </c>
      <c r="C248" s="304">
        <f>Données!C248</f>
        <v>504</v>
      </c>
      <c r="D248" s="300">
        <f t="shared" si="38"/>
        <v>504</v>
      </c>
      <c r="E248" s="300">
        <f t="shared" si="47"/>
        <v>0</v>
      </c>
      <c r="F248" s="305">
        <f t="shared" si="47"/>
        <v>0</v>
      </c>
      <c r="G248" s="299">
        <f t="shared" si="47"/>
        <v>0</v>
      </c>
      <c r="H248" s="300">
        <f t="shared" si="47"/>
        <v>0</v>
      </c>
      <c r="I248" s="305">
        <f t="shared" si="47"/>
        <v>0</v>
      </c>
      <c r="J248" s="305">
        <f t="shared" si="47"/>
        <v>0</v>
      </c>
      <c r="K248" s="306">
        <f t="shared" si="39"/>
        <v>0</v>
      </c>
      <c r="L248" s="305">
        <f t="shared" si="40"/>
        <v>1008</v>
      </c>
      <c r="M248" s="431">
        <f>Données!AE248</f>
        <v>0</v>
      </c>
      <c r="N248" s="433">
        <v>0</v>
      </c>
      <c r="O248" s="300">
        <f t="shared" si="37"/>
        <v>504</v>
      </c>
      <c r="P248" s="305">
        <f t="shared" si="41"/>
        <v>1008</v>
      </c>
      <c r="Q248" s="306">
        <f t="shared" si="43"/>
        <v>15617.639946958318</v>
      </c>
      <c r="R248" s="305">
        <f t="shared" si="44"/>
        <v>34217.416534981625</v>
      </c>
      <c r="S248" s="299">
        <f t="shared" si="45"/>
        <v>25288.650691659881</v>
      </c>
      <c r="T248" s="305">
        <f t="shared" si="46"/>
        <v>0</v>
      </c>
      <c r="U248" s="428">
        <f t="shared" si="42"/>
        <v>75123.707173599832</v>
      </c>
    </row>
    <row r="249" spans="1:21" x14ac:dyDescent="0.25">
      <c r="A249" s="108">
        <f>Données!A249</f>
        <v>5843</v>
      </c>
      <c r="B249" s="109" t="str">
        <f>Données!B249</f>
        <v>Rougemont</v>
      </c>
      <c r="C249" s="304">
        <f>Données!C249</f>
        <v>805</v>
      </c>
      <c r="D249" s="300">
        <f t="shared" si="38"/>
        <v>805</v>
      </c>
      <c r="E249" s="300">
        <f t="shared" si="47"/>
        <v>0</v>
      </c>
      <c r="F249" s="305">
        <f t="shared" si="47"/>
        <v>0</v>
      </c>
      <c r="G249" s="299">
        <f t="shared" si="47"/>
        <v>0</v>
      </c>
      <c r="H249" s="300">
        <f t="shared" si="47"/>
        <v>0</v>
      </c>
      <c r="I249" s="305">
        <f t="shared" si="47"/>
        <v>0</v>
      </c>
      <c r="J249" s="305">
        <f t="shared" si="47"/>
        <v>0</v>
      </c>
      <c r="K249" s="306">
        <f t="shared" si="39"/>
        <v>0</v>
      </c>
      <c r="L249" s="305">
        <f t="shared" si="40"/>
        <v>1610</v>
      </c>
      <c r="M249" s="431">
        <f>Données!AE249</f>
        <v>0</v>
      </c>
      <c r="N249" s="433">
        <v>0</v>
      </c>
      <c r="O249" s="300">
        <f t="shared" si="37"/>
        <v>805</v>
      </c>
      <c r="P249" s="305">
        <f t="shared" si="41"/>
        <v>1610</v>
      </c>
      <c r="Q249" s="306">
        <f t="shared" si="43"/>
        <v>24944.841581947312</v>
      </c>
      <c r="R249" s="305">
        <f t="shared" si="44"/>
        <v>54652.818076706768</v>
      </c>
      <c r="S249" s="299">
        <f t="shared" si="45"/>
        <v>40391.594854734532</v>
      </c>
      <c r="T249" s="305">
        <f t="shared" si="46"/>
        <v>0</v>
      </c>
      <c r="U249" s="428">
        <f t="shared" si="42"/>
        <v>119989.25451338862</v>
      </c>
    </row>
    <row r="250" spans="1:21" x14ac:dyDescent="0.25">
      <c r="A250" s="108">
        <f>Données!A250</f>
        <v>5851</v>
      </c>
      <c r="B250" s="109" t="str">
        <f>Données!B250</f>
        <v>Allaman</v>
      </c>
      <c r="C250" s="304">
        <f>Données!C250</f>
        <v>412</v>
      </c>
      <c r="D250" s="300">
        <f t="shared" si="38"/>
        <v>412</v>
      </c>
      <c r="E250" s="300">
        <f t="shared" si="47"/>
        <v>0</v>
      </c>
      <c r="F250" s="305">
        <f t="shared" si="47"/>
        <v>0</v>
      </c>
      <c r="G250" s="299">
        <f t="shared" si="47"/>
        <v>0</v>
      </c>
      <c r="H250" s="300">
        <f t="shared" si="47"/>
        <v>0</v>
      </c>
      <c r="I250" s="305">
        <f t="shared" si="47"/>
        <v>0</v>
      </c>
      <c r="J250" s="305">
        <f t="shared" si="47"/>
        <v>0</v>
      </c>
      <c r="K250" s="306">
        <f t="shared" si="39"/>
        <v>0</v>
      </c>
      <c r="L250" s="305">
        <f t="shared" si="40"/>
        <v>824</v>
      </c>
      <c r="M250" s="431">
        <f>Données!AE250</f>
        <v>0</v>
      </c>
      <c r="N250" s="433">
        <v>0</v>
      </c>
      <c r="O250" s="300">
        <f t="shared" si="37"/>
        <v>412</v>
      </c>
      <c r="P250" s="305">
        <f t="shared" si="41"/>
        <v>824</v>
      </c>
      <c r="Q250" s="306">
        <f t="shared" si="43"/>
        <v>12766.800909021482</v>
      </c>
      <c r="R250" s="305">
        <f t="shared" si="44"/>
        <v>27971.380183357996</v>
      </c>
      <c r="S250" s="299">
        <f t="shared" si="45"/>
        <v>20672.468422547361</v>
      </c>
      <c r="T250" s="305">
        <f t="shared" si="46"/>
        <v>0</v>
      </c>
      <c r="U250" s="428">
        <f t="shared" si="42"/>
        <v>61410.649514926838</v>
      </c>
    </row>
    <row r="251" spans="1:21" x14ac:dyDescent="0.25">
      <c r="A251" s="108">
        <f>Données!A251</f>
        <v>5852</v>
      </c>
      <c r="B251" s="109" t="str">
        <f>Données!B251</f>
        <v>Bursinel</v>
      </c>
      <c r="C251" s="304">
        <f>Données!C251</f>
        <v>535</v>
      </c>
      <c r="D251" s="300">
        <f t="shared" si="38"/>
        <v>535</v>
      </c>
      <c r="E251" s="300">
        <f t="shared" si="47"/>
        <v>0</v>
      </c>
      <c r="F251" s="305">
        <f t="shared" si="47"/>
        <v>0</v>
      </c>
      <c r="G251" s="299">
        <f t="shared" si="47"/>
        <v>0</v>
      </c>
      <c r="H251" s="300">
        <f t="shared" si="47"/>
        <v>0</v>
      </c>
      <c r="I251" s="305">
        <f t="shared" si="47"/>
        <v>0</v>
      </c>
      <c r="J251" s="305">
        <f t="shared" si="47"/>
        <v>0</v>
      </c>
      <c r="K251" s="306">
        <f t="shared" si="39"/>
        <v>0</v>
      </c>
      <c r="L251" s="305">
        <f t="shared" si="40"/>
        <v>1070</v>
      </c>
      <c r="M251" s="431">
        <f>Données!AE251</f>
        <v>0</v>
      </c>
      <c r="N251" s="433">
        <v>0</v>
      </c>
      <c r="O251" s="300">
        <f t="shared" si="37"/>
        <v>535</v>
      </c>
      <c r="P251" s="305">
        <f t="shared" si="41"/>
        <v>1070</v>
      </c>
      <c r="Q251" s="306">
        <f t="shared" si="43"/>
        <v>16578.248753219643</v>
      </c>
      <c r="R251" s="305">
        <f t="shared" si="44"/>
        <v>36322.059218680894</v>
      </c>
      <c r="S251" s="299">
        <f t="shared" si="45"/>
        <v>26844.103412773879</v>
      </c>
      <c r="T251" s="305">
        <f t="shared" si="46"/>
        <v>0</v>
      </c>
      <c r="U251" s="428">
        <f t="shared" si="42"/>
        <v>79744.411384674415</v>
      </c>
    </row>
    <row r="252" spans="1:21" x14ac:dyDescent="0.25">
      <c r="A252" s="108">
        <f>Données!A252</f>
        <v>5853</v>
      </c>
      <c r="B252" s="109" t="str">
        <f>Données!B252</f>
        <v>Bursins</v>
      </c>
      <c r="C252" s="304">
        <f>Données!C252</f>
        <v>831</v>
      </c>
      <c r="D252" s="300">
        <f t="shared" si="38"/>
        <v>831</v>
      </c>
      <c r="E252" s="300">
        <f t="shared" si="47"/>
        <v>0</v>
      </c>
      <c r="F252" s="305">
        <f t="shared" si="47"/>
        <v>0</v>
      </c>
      <c r="G252" s="299">
        <f t="shared" si="47"/>
        <v>0</v>
      </c>
      <c r="H252" s="300">
        <f t="shared" si="47"/>
        <v>0</v>
      </c>
      <c r="I252" s="305">
        <f t="shared" si="47"/>
        <v>0</v>
      </c>
      <c r="J252" s="305">
        <f t="shared" si="47"/>
        <v>0</v>
      </c>
      <c r="K252" s="306">
        <f t="shared" si="39"/>
        <v>0</v>
      </c>
      <c r="L252" s="305">
        <f t="shared" si="40"/>
        <v>1662</v>
      </c>
      <c r="M252" s="431">
        <f>Données!AE252</f>
        <v>0</v>
      </c>
      <c r="N252" s="433">
        <v>0</v>
      </c>
      <c r="O252" s="300">
        <f t="shared" si="37"/>
        <v>831</v>
      </c>
      <c r="P252" s="305">
        <f t="shared" si="41"/>
        <v>1662</v>
      </c>
      <c r="Q252" s="306">
        <f t="shared" si="43"/>
        <v>25750.51348397294</v>
      </c>
      <c r="R252" s="305">
        <f t="shared" si="44"/>
        <v>56418.002263035181</v>
      </c>
      <c r="S252" s="299">
        <f t="shared" si="45"/>
        <v>41696.168104701108</v>
      </c>
      <c r="T252" s="305">
        <f t="shared" si="46"/>
        <v>0</v>
      </c>
      <c r="U252" s="428">
        <f t="shared" si="42"/>
        <v>123864.68385170923</v>
      </c>
    </row>
    <row r="253" spans="1:21" x14ac:dyDescent="0.25">
      <c r="A253" s="108">
        <f>Données!A253</f>
        <v>5854</v>
      </c>
      <c r="B253" s="109" t="str">
        <f>Données!B253</f>
        <v>Burtigny</v>
      </c>
      <c r="C253" s="304">
        <f>Données!C253</f>
        <v>406</v>
      </c>
      <c r="D253" s="300">
        <f t="shared" si="38"/>
        <v>406</v>
      </c>
      <c r="E253" s="300">
        <f t="shared" si="47"/>
        <v>0</v>
      </c>
      <c r="F253" s="305">
        <f t="shared" si="47"/>
        <v>0</v>
      </c>
      <c r="G253" s="299">
        <f t="shared" si="47"/>
        <v>0</v>
      </c>
      <c r="H253" s="300">
        <f t="shared" si="47"/>
        <v>0</v>
      </c>
      <c r="I253" s="305">
        <f t="shared" si="47"/>
        <v>0</v>
      </c>
      <c r="J253" s="305">
        <f t="shared" si="47"/>
        <v>0</v>
      </c>
      <c r="K253" s="306">
        <f t="shared" si="39"/>
        <v>0</v>
      </c>
      <c r="L253" s="305">
        <f t="shared" si="40"/>
        <v>812</v>
      </c>
      <c r="M253" s="431">
        <f>Données!AE253</f>
        <v>0</v>
      </c>
      <c r="N253" s="433">
        <v>0</v>
      </c>
      <c r="O253" s="300">
        <f t="shared" si="37"/>
        <v>406</v>
      </c>
      <c r="P253" s="305">
        <f t="shared" si="41"/>
        <v>812</v>
      </c>
      <c r="Q253" s="306">
        <f t="shared" si="43"/>
        <v>12580.876623938644</v>
      </c>
      <c r="R253" s="305">
        <f t="shared" si="44"/>
        <v>27564.029986512978</v>
      </c>
      <c r="S253" s="299">
        <f t="shared" si="45"/>
        <v>20371.413057170459</v>
      </c>
      <c r="T253" s="305">
        <f t="shared" si="46"/>
        <v>0</v>
      </c>
      <c r="U253" s="428">
        <f t="shared" si="42"/>
        <v>60516.319667622083</v>
      </c>
    </row>
    <row r="254" spans="1:21" x14ac:dyDescent="0.25">
      <c r="A254" s="108">
        <f>Données!A254</f>
        <v>5855</v>
      </c>
      <c r="B254" s="109" t="str">
        <f>Données!B254</f>
        <v>Dully</v>
      </c>
      <c r="C254" s="304">
        <f>Données!C254</f>
        <v>637</v>
      </c>
      <c r="D254" s="300">
        <f t="shared" si="38"/>
        <v>637</v>
      </c>
      <c r="E254" s="300">
        <f t="shared" si="47"/>
        <v>0</v>
      </c>
      <c r="F254" s="305">
        <f t="shared" si="47"/>
        <v>0</v>
      </c>
      <c r="G254" s="299">
        <f t="shared" si="47"/>
        <v>0</v>
      </c>
      <c r="H254" s="300">
        <f t="shared" si="47"/>
        <v>0</v>
      </c>
      <c r="I254" s="305">
        <f t="shared" si="47"/>
        <v>0</v>
      </c>
      <c r="J254" s="305">
        <f t="shared" si="47"/>
        <v>0</v>
      </c>
      <c r="K254" s="306">
        <f t="shared" si="39"/>
        <v>0</v>
      </c>
      <c r="L254" s="305">
        <f t="shared" si="40"/>
        <v>1274</v>
      </c>
      <c r="M254" s="431">
        <f>Données!AE254</f>
        <v>0</v>
      </c>
      <c r="N254" s="433">
        <v>0</v>
      </c>
      <c r="O254" s="300">
        <f t="shared" si="37"/>
        <v>637</v>
      </c>
      <c r="P254" s="305">
        <f t="shared" si="41"/>
        <v>1274</v>
      </c>
      <c r="Q254" s="306">
        <f t="shared" si="43"/>
        <v>19738.961599627874</v>
      </c>
      <c r="R254" s="305">
        <f t="shared" si="44"/>
        <v>43247.012565046221</v>
      </c>
      <c r="S254" s="299">
        <f t="shared" si="45"/>
        <v>31962.044624181235</v>
      </c>
      <c r="T254" s="305">
        <f t="shared" si="46"/>
        <v>0</v>
      </c>
      <c r="U254" s="428">
        <f t="shared" si="42"/>
        <v>94948.018788855334</v>
      </c>
    </row>
    <row r="255" spans="1:21" x14ac:dyDescent="0.25">
      <c r="A255" s="108">
        <f>Données!A255</f>
        <v>5856</v>
      </c>
      <c r="B255" s="109" t="str">
        <f>Données!B255</f>
        <v>Essertines-sur-Rolle</v>
      </c>
      <c r="C255" s="304">
        <f>Données!C255</f>
        <v>770</v>
      </c>
      <c r="D255" s="300">
        <f t="shared" si="38"/>
        <v>770</v>
      </c>
      <c r="E255" s="300">
        <f t="shared" si="47"/>
        <v>0</v>
      </c>
      <c r="F255" s="305">
        <f t="shared" si="47"/>
        <v>0</v>
      </c>
      <c r="G255" s="299">
        <f t="shared" si="47"/>
        <v>0</v>
      </c>
      <c r="H255" s="300">
        <f t="shared" si="47"/>
        <v>0</v>
      </c>
      <c r="I255" s="305">
        <f t="shared" si="47"/>
        <v>0</v>
      </c>
      <c r="J255" s="305">
        <f t="shared" si="47"/>
        <v>0</v>
      </c>
      <c r="K255" s="306">
        <f t="shared" si="39"/>
        <v>0</v>
      </c>
      <c r="L255" s="305">
        <f t="shared" si="40"/>
        <v>1540</v>
      </c>
      <c r="M255" s="431">
        <f>Données!AE255</f>
        <v>0</v>
      </c>
      <c r="N255" s="433">
        <v>0</v>
      </c>
      <c r="O255" s="300">
        <f t="shared" si="37"/>
        <v>770</v>
      </c>
      <c r="P255" s="305">
        <f t="shared" si="41"/>
        <v>1540</v>
      </c>
      <c r="Q255" s="306">
        <f t="shared" si="43"/>
        <v>23860.283252297431</v>
      </c>
      <c r="R255" s="305">
        <f t="shared" si="44"/>
        <v>52276.608595110818</v>
      </c>
      <c r="S255" s="299">
        <f t="shared" si="45"/>
        <v>38635.438556702597</v>
      </c>
      <c r="T255" s="305">
        <f t="shared" si="46"/>
        <v>0</v>
      </c>
      <c r="U255" s="428">
        <f t="shared" si="42"/>
        <v>114772.33040411083</v>
      </c>
    </row>
    <row r="256" spans="1:21" x14ac:dyDescent="0.25">
      <c r="A256" s="108">
        <f>Données!A256</f>
        <v>5857</v>
      </c>
      <c r="B256" s="109" t="str">
        <f>Données!B256</f>
        <v>Gilly</v>
      </c>
      <c r="C256" s="304">
        <f>Données!C256</f>
        <v>1429</v>
      </c>
      <c r="D256" s="300">
        <f t="shared" si="38"/>
        <v>1000</v>
      </c>
      <c r="E256" s="300">
        <f t="shared" si="47"/>
        <v>429</v>
      </c>
      <c r="F256" s="305">
        <f t="shared" si="47"/>
        <v>0</v>
      </c>
      <c r="G256" s="299">
        <f t="shared" si="47"/>
        <v>0</v>
      </c>
      <c r="H256" s="300">
        <f t="shared" si="47"/>
        <v>0</v>
      </c>
      <c r="I256" s="305">
        <f t="shared" si="47"/>
        <v>0</v>
      </c>
      <c r="J256" s="305">
        <f t="shared" si="47"/>
        <v>0</v>
      </c>
      <c r="K256" s="306">
        <f t="shared" si="39"/>
        <v>0</v>
      </c>
      <c r="L256" s="305">
        <f t="shared" si="40"/>
        <v>3287</v>
      </c>
      <c r="M256" s="431">
        <f>Données!AE256</f>
        <v>0</v>
      </c>
      <c r="N256" s="433">
        <v>0</v>
      </c>
      <c r="O256" s="300">
        <f t="shared" si="37"/>
        <v>1429</v>
      </c>
      <c r="P256" s="305">
        <f t="shared" si="41"/>
        <v>3287</v>
      </c>
      <c r="Q256" s="306">
        <f t="shared" si="43"/>
        <v>44280.967230562375</v>
      </c>
      <c r="R256" s="305">
        <f t="shared" si="44"/>
        <v>97017.238548588779</v>
      </c>
      <c r="S256" s="299">
        <f t="shared" si="45"/>
        <v>82464.082166156775</v>
      </c>
      <c r="T256" s="305">
        <f t="shared" si="46"/>
        <v>0</v>
      </c>
      <c r="U256" s="428">
        <f t="shared" si="42"/>
        <v>223762.28794530791</v>
      </c>
    </row>
    <row r="257" spans="1:21" x14ac:dyDescent="0.25">
      <c r="A257" s="108">
        <f>Données!A257</f>
        <v>5858</v>
      </c>
      <c r="B257" s="109" t="str">
        <f>Données!B257</f>
        <v>Luins</v>
      </c>
      <c r="C257" s="304">
        <f>Données!C257</f>
        <v>640</v>
      </c>
      <c r="D257" s="300">
        <f t="shared" si="38"/>
        <v>640</v>
      </c>
      <c r="E257" s="300">
        <f t="shared" si="47"/>
        <v>0</v>
      </c>
      <c r="F257" s="305">
        <f t="shared" si="47"/>
        <v>0</v>
      </c>
      <c r="G257" s="299">
        <f t="shared" si="47"/>
        <v>0</v>
      </c>
      <c r="H257" s="300">
        <f t="shared" si="47"/>
        <v>0</v>
      </c>
      <c r="I257" s="305">
        <f t="shared" si="47"/>
        <v>0</v>
      </c>
      <c r="J257" s="305">
        <f t="shared" si="47"/>
        <v>0</v>
      </c>
      <c r="K257" s="306">
        <f t="shared" si="39"/>
        <v>0</v>
      </c>
      <c r="L257" s="305">
        <f t="shared" si="40"/>
        <v>1280</v>
      </c>
      <c r="M257" s="431">
        <f>Données!AE257</f>
        <v>0</v>
      </c>
      <c r="N257" s="433">
        <v>0</v>
      </c>
      <c r="O257" s="300">
        <f t="shared" si="37"/>
        <v>640</v>
      </c>
      <c r="P257" s="305">
        <f t="shared" si="41"/>
        <v>1280</v>
      </c>
      <c r="Q257" s="306">
        <f t="shared" si="43"/>
        <v>19831.923742169292</v>
      </c>
      <c r="R257" s="305">
        <f t="shared" si="44"/>
        <v>43450.687663468736</v>
      </c>
      <c r="S257" s="299">
        <f t="shared" si="45"/>
        <v>32112.57230686969</v>
      </c>
      <c r="T257" s="305">
        <f t="shared" si="46"/>
        <v>0</v>
      </c>
      <c r="U257" s="428">
        <f t="shared" si="42"/>
        <v>95395.183712507715</v>
      </c>
    </row>
    <row r="258" spans="1:21" x14ac:dyDescent="0.25">
      <c r="A258" s="108">
        <f>Données!A258</f>
        <v>5859</v>
      </c>
      <c r="B258" s="109" t="str">
        <f>Données!B258</f>
        <v>Mont-sur-Rolle</v>
      </c>
      <c r="C258" s="304">
        <f>Données!C258</f>
        <v>2759</v>
      </c>
      <c r="D258" s="300">
        <f t="shared" si="38"/>
        <v>1000</v>
      </c>
      <c r="E258" s="300">
        <f t="shared" si="47"/>
        <v>1759</v>
      </c>
      <c r="F258" s="305">
        <f t="shared" si="47"/>
        <v>0</v>
      </c>
      <c r="G258" s="299">
        <f t="shared" si="47"/>
        <v>0</v>
      </c>
      <c r="H258" s="300">
        <f t="shared" si="47"/>
        <v>0</v>
      </c>
      <c r="I258" s="305">
        <f t="shared" si="47"/>
        <v>0</v>
      </c>
      <c r="J258" s="305">
        <f t="shared" si="47"/>
        <v>0</v>
      </c>
      <c r="K258" s="306">
        <f t="shared" si="39"/>
        <v>0</v>
      </c>
      <c r="L258" s="305">
        <f t="shared" si="40"/>
        <v>7277</v>
      </c>
      <c r="M258" s="431">
        <f>Données!AE258</f>
        <v>0</v>
      </c>
      <c r="N258" s="433">
        <v>0</v>
      </c>
      <c r="O258" s="300">
        <f t="shared" si="37"/>
        <v>2759</v>
      </c>
      <c r="P258" s="305">
        <f t="shared" si="41"/>
        <v>7277</v>
      </c>
      <c r="Q258" s="306">
        <f t="shared" si="43"/>
        <v>85494.183757257939</v>
      </c>
      <c r="R258" s="305">
        <f t="shared" si="44"/>
        <v>187313.19884923476</v>
      </c>
      <c r="S258" s="299">
        <f t="shared" si="45"/>
        <v>182564.99115397711</v>
      </c>
      <c r="T258" s="305">
        <f t="shared" si="46"/>
        <v>0</v>
      </c>
      <c r="U258" s="428">
        <f t="shared" si="42"/>
        <v>455372.37376046984</v>
      </c>
    </row>
    <row r="259" spans="1:21" x14ac:dyDescent="0.25">
      <c r="A259" s="108">
        <f>Données!A259</f>
        <v>5860</v>
      </c>
      <c r="B259" s="109" t="str">
        <f>Données!B259</f>
        <v>Perroy</v>
      </c>
      <c r="C259" s="304">
        <f>Données!C259</f>
        <v>1573</v>
      </c>
      <c r="D259" s="300">
        <f t="shared" si="38"/>
        <v>1000</v>
      </c>
      <c r="E259" s="300">
        <f t="shared" si="47"/>
        <v>573</v>
      </c>
      <c r="F259" s="305">
        <f t="shared" si="47"/>
        <v>0</v>
      </c>
      <c r="G259" s="299">
        <f t="shared" si="47"/>
        <v>0</v>
      </c>
      <c r="H259" s="300">
        <f t="shared" si="47"/>
        <v>0</v>
      </c>
      <c r="I259" s="305">
        <f t="shared" si="47"/>
        <v>0</v>
      </c>
      <c r="J259" s="305">
        <f t="shared" si="47"/>
        <v>0</v>
      </c>
      <c r="K259" s="306">
        <f t="shared" si="39"/>
        <v>0</v>
      </c>
      <c r="L259" s="305">
        <f t="shared" si="40"/>
        <v>3719</v>
      </c>
      <c r="M259" s="431">
        <f>Données!AE259</f>
        <v>0</v>
      </c>
      <c r="N259" s="433">
        <v>0</v>
      </c>
      <c r="O259" s="300">
        <f t="shared" si="37"/>
        <v>1573</v>
      </c>
      <c r="P259" s="305">
        <f t="shared" si="41"/>
        <v>3719</v>
      </c>
      <c r="Q259" s="306">
        <f t="shared" si="43"/>
        <v>48743.150072550467</v>
      </c>
      <c r="R259" s="305">
        <f t="shared" si="44"/>
        <v>106793.64327286925</v>
      </c>
      <c r="S259" s="299">
        <f t="shared" si="45"/>
        <v>93302.075319725293</v>
      </c>
      <c r="T259" s="305">
        <f t="shared" si="46"/>
        <v>0</v>
      </c>
      <c r="U259" s="428">
        <f t="shared" si="42"/>
        <v>248838.86866514501</v>
      </c>
    </row>
    <row r="260" spans="1:21" x14ac:dyDescent="0.25">
      <c r="A260" s="108">
        <f>Données!A260</f>
        <v>5861</v>
      </c>
      <c r="B260" s="109" t="str">
        <f>Données!B260</f>
        <v>Rolle</v>
      </c>
      <c r="C260" s="304">
        <f>Données!C260</f>
        <v>6604</v>
      </c>
      <c r="D260" s="300">
        <f t="shared" si="38"/>
        <v>1000</v>
      </c>
      <c r="E260" s="300">
        <f t="shared" si="47"/>
        <v>2000</v>
      </c>
      <c r="F260" s="305">
        <f t="shared" si="47"/>
        <v>2000</v>
      </c>
      <c r="G260" s="299">
        <f t="shared" si="47"/>
        <v>1604</v>
      </c>
      <c r="H260" s="300">
        <f t="shared" si="47"/>
        <v>0</v>
      </c>
      <c r="I260" s="305">
        <f t="shared" si="47"/>
        <v>0</v>
      </c>
      <c r="J260" s="305">
        <f t="shared" si="47"/>
        <v>0</v>
      </c>
      <c r="K260" s="306">
        <f t="shared" si="39"/>
        <v>0</v>
      </c>
      <c r="L260" s="305">
        <f t="shared" si="40"/>
        <v>21416</v>
      </c>
      <c r="M260" s="431">
        <f>Données!AE260</f>
        <v>0</v>
      </c>
      <c r="N260" s="433">
        <v>0</v>
      </c>
      <c r="O260" s="300">
        <f t="shared" si="37"/>
        <v>6604</v>
      </c>
      <c r="P260" s="305">
        <f t="shared" si="41"/>
        <v>21416</v>
      </c>
      <c r="Q260" s="306">
        <f t="shared" si="43"/>
        <v>204640.6631145094</v>
      </c>
      <c r="R260" s="305">
        <f t="shared" si="44"/>
        <v>448356.78332741797</v>
      </c>
      <c r="S260" s="299">
        <f t="shared" si="45"/>
        <v>537283.47540931345</v>
      </c>
      <c r="T260" s="305">
        <f t="shared" si="46"/>
        <v>0</v>
      </c>
      <c r="U260" s="428">
        <f t="shared" si="42"/>
        <v>1190280.9218512408</v>
      </c>
    </row>
    <row r="261" spans="1:21" x14ac:dyDescent="0.25">
      <c r="A261" s="108">
        <f>Données!A261</f>
        <v>5862</v>
      </c>
      <c r="B261" s="109" t="str">
        <f>Données!B261</f>
        <v>Tartegnin</v>
      </c>
      <c r="C261" s="304">
        <f>Données!C261</f>
        <v>246</v>
      </c>
      <c r="D261" s="300">
        <f t="shared" si="38"/>
        <v>246</v>
      </c>
      <c r="E261" s="300">
        <f t="shared" si="47"/>
        <v>0</v>
      </c>
      <c r="F261" s="305">
        <f t="shared" si="47"/>
        <v>0</v>
      </c>
      <c r="G261" s="299">
        <f t="shared" si="47"/>
        <v>0</v>
      </c>
      <c r="H261" s="300">
        <f t="shared" si="47"/>
        <v>0</v>
      </c>
      <c r="I261" s="305">
        <f t="shared" si="47"/>
        <v>0</v>
      </c>
      <c r="J261" s="305">
        <f t="shared" si="47"/>
        <v>0</v>
      </c>
      <c r="K261" s="306">
        <f t="shared" si="39"/>
        <v>0</v>
      </c>
      <c r="L261" s="305">
        <f t="shared" si="40"/>
        <v>492</v>
      </c>
      <c r="M261" s="431">
        <f>Données!AE261</f>
        <v>0</v>
      </c>
      <c r="N261" s="433">
        <v>0</v>
      </c>
      <c r="O261" s="300">
        <f t="shared" ref="O261:O301" si="48">IF(N261=0,C261,0)</f>
        <v>246</v>
      </c>
      <c r="P261" s="305">
        <f t="shared" si="41"/>
        <v>492</v>
      </c>
      <c r="Q261" s="306">
        <f t="shared" si="43"/>
        <v>7622.8956883963219</v>
      </c>
      <c r="R261" s="305">
        <f t="shared" si="44"/>
        <v>16701.358070645794</v>
      </c>
      <c r="S261" s="299">
        <f t="shared" si="45"/>
        <v>12343.269980453037</v>
      </c>
      <c r="T261" s="305">
        <f t="shared" si="46"/>
        <v>0</v>
      </c>
      <c r="U261" s="428">
        <f t="shared" si="42"/>
        <v>36667.523739495155</v>
      </c>
    </row>
    <row r="262" spans="1:21" x14ac:dyDescent="0.25">
      <c r="A262" s="108">
        <f>Données!A262</f>
        <v>5863</v>
      </c>
      <c r="B262" s="109" t="str">
        <f>Données!B262</f>
        <v>Vinzel</v>
      </c>
      <c r="C262" s="304">
        <f>Données!C262</f>
        <v>385</v>
      </c>
      <c r="D262" s="300">
        <f t="shared" ref="D262:D301" si="49">IF(C262&gt;$D$5,$D$5-$D$4,C262)</f>
        <v>385</v>
      </c>
      <c r="E262" s="300">
        <f t="shared" si="47"/>
        <v>0</v>
      </c>
      <c r="F262" s="305">
        <f t="shared" si="47"/>
        <v>0</v>
      </c>
      <c r="G262" s="299">
        <f t="shared" si="47"/>
        <v>0</v>
      </c>
      <c r="H262" s="300">
        <f t="shared" si="47"/>
        <v>0</v>
      </c>
      <c r="I262" s="305">
        <f t="shared" si="47"/>
        <v>0</v>
      </c>
      <c r="J262" s="305">
        <f t="shared" si="47"/>
        <v>0</v>
      </c>
      <c r="K262" s="306">
        <f t="shared" ref="K262:K301" si="50">IF($C262&lt;K$4,0,$C262-K$4)</f>
        <v>0</v>
      </c>
      <c r="L262" s="305">
        <f t="shared" ref="L262:L301" si="51">SUMPRODUCT($D$6:$K$6,D262:K262)</f>
        <v>770</v>
      </c>
      <c r="M262" s="431">
        <f>Données!AE262</f>
        <v>0</v>
      </c>
      <c r="N262" s="433">
        <v>0</v>
      </c>
      <c r="O262" s="300">
        <f t="shared" si="48"/>
        <v>385</v>
      </c>
      <c r="P262" s="305">
        <f t="shared" ref="P262:P301" si="52">IF(N262=0,L262,0)</f>
        <v>770</v>
      </c>
      <c r="Q262" s="306">
        <f t="shared" si="43"/>
        <v>11930.141626148716</v>
      </c>
      <c r="R262" s="305">
        <f t="shared" si="44"/>
        <v>26138.304297555409</v>
      </c>
      <c r="S262" s="299">
        <f t="shared" si="45"/>
        <v>19317.719278351298</v>
      </c>
      <c r="T262" s="305">
        <f t="shared" si="46"/>
        <v>0</v>
      </c>
      <c r="U262" s="428">
        <f t="shared" ref="U262:U301" si="53">SUM(Q262:T262)</f>
        <v>57386.165202055417</v>
      </c>
    </row>
    <row r="263" spans="1:21" x14ac:dyDescent="0.25">
      <c r="A263" s="108">
        <f>Données!A263</f>
        <v>5940</v>
      </c>
      <c r="B263" s="109" t="str">
        <f>Données!B263</f>
        <v>La Vallée de Joux</v>
      </c>
      <c r="C263" s="304">
        <f>Données!C263</f>
        <v>7317</v>
      </c>
      <c r="D263" s="300">
        <f t="shared" si="49"/>
        <v>1000</v>
      </c>
      <c r="E263" s="300">
        <f t="shared" si="47"/>
        <v>2000</v>
      </c>
      <c r="F263" s="305">
        <f t="shared" si="47"/>
        <v>2000</v>
      </c>
      <c r="G263" s="299">
        <f t="shared" si="47"/>
        <v>2317</v>
      </c>
      <c r="H263" s="300">
        <f t="shared" si="47"/>
        <v>0</v>
      </c>
      <c r="I263" s="305">
        <f t="shared" si="47"/>
        <v>0</v>
      </c>
      <c r="J263" s="305">
        <f t="shared" si="47"/>
        <v>0</v>
      </c>
      <c r="K263" s="306">
        <f t="shared" si="50"/>
        <v>0</v>
      </c>
      <c r="L263" s="305">
        <f t="shared" si="51"/>
        <v>24268</v>
      </c>
      <c r="M263" s="431">
        <f>Données!AE263</f>
        <v>0</v>
      </c>
      <c r="N263" s="433">
        <v>0</v>
      </c>
      <c r="O263" s="300">
        <f t="shared" si="48"/>
        <v>7317</v>
      </c>
      <c r="P263" s="305">
        <f t="shared" si="52"/>
        <v>24268</v>
      </c>
      <c r="Q263" s="306">
        <f t="shared" si="43"/>
        <v>226734.66565851987</v>
      </c>
      <c r="R263" s="305">
        <f t="shared" si="44"/>
        <v>496763.56505250116</v>
      </c>
      <c r="S263" s="299">
        <f t="shared" si="45"/>
        <v>608834.30058055744</v>
      </c>
      <c r="T263" s="305">
        <f t="shared" si="46"/>
        <v>0</v>
      </c>
      <c r="U263" s="428">
        <f t="shared" si="53"/>
        <v>1332332.5312915784</v>
      </c>
    </row>
    <row r="264" spans="1:21" x14ac:dyDescent="0.25">
      <c r="A264" s="108">
        <f>Données!A264</f>
        <v>5882</v>
      </c>
      <c r="B264" s="109" t="str">
        <f>Données!B264</f>
        <v>Chardonne</v>
      </c>
      <c r="C264" s="304">
        <f>Données!C264</f>
        <v>3384</v>
      </c>
      <c r="D264" s="300">
        <f t="shared" si="49"/>
        <v>1000</v>
      </c>
      <c r="E264" s="300">
        <f t="shared" si="47"/>
        <v>2000</v>
      </c>
      <c r="F264" s="305">
        <f t="shared" si="47"/>
        <v>384</v>
      </c>
      <c r="G264" s="299">
        <f t="shared" si="47"/>
        <v>0</v>
      </c>
      <c r="H264" s="300">
        <f t="shared" si="47"/>
        <v>0</v>
      </c>
      <c r="I264" s="305">
        <f t="shared" si="47"/>
        <v>0</v>
      </c>
      <c r="J264" s="305">
        <f t="shared" si="47"/>
        <v>0</v>
      </c>
      <c r="K264" s="306">
        <f t="shared" si="50"/>
        <v>0</v>
      </c>
      <c r="L264" s="305">
        <f t="shared" si="51"/>
        <v>9344</v>
      </c>
      <c r="M264" s="431">
        <f>Données!AE264</f>
        <v>1</v>
      </c>
      <c r="N264" s="433">
        <v>1</v>
      </c>
      <c r="O264" s="300">
        <f t="shared" si="48"/>
        <v>0</v>
      </c>
      <c r="P264" s="305">
        <f t="shared" si="52"/>
        <v>0</v>
      </c>
      <c r="Q264" s="306">
        <f t="shared" ref="Q264:Q301" si="54">$Q$6/$C$302*C264</f>
        <v>104861.29678672014</v>
      </c>
      <c r="R264" s="305">
        <f t="shared" ref="R264:R301" si="55">$R$6/$O$302*O264</f>
        <v>0</v>
      </c>
      <c r="S264" s="299">
        <f t="shared" ref="S264:S301" si="56">$S$6/$P$302*P264</f>
        <v>0</v>
      </c>
      <c r="T264" s="305">
        <f t="shared" si="46"/>
        <v>0</v>
      </c>
      <c r="U264" s="428">
        <f t="shared" si="53"/>
        <v>104861.29678672014</v>
      </c>
    </row>
    <row r="265" spans="1:21" x14ac:dyDescent="0.25">
      <c r="A265" s="108">
        <f>Données!A265</f>
        <v>5883</v>
      </c>
      <c r="B265" s="109" t="str">
        <f>Données!B265</f>
        <v>Corseaux</v>
      </c>
      <c r="C265" s="304">
        <f>Données!C265</f>
        <v>2326</v>
      </c>
      <c r="D265" s="300">
        <f t="shared" si="49"/>
        <v>1000</v>
      </c>
      <c r="E265" s="300">
        <f t="shared" si="47"/>
        <v>1326</v>
      </c>
      <c r="F265" s="305">
        <f t="shared" si="47"/>
        <v>0</v>
      </c>
      <c r="G265" s="299">
        <f t="shared" si="47"/>
        <v>0</v>
      </c>
      <c r="H265" s="300">
        <f t="shared" si="47"/>
        <v>0</v>
      </c>
      <c r="I265" s="305">
        <f t="shared" si="47"/>
        <v>0</v>
      </c>
      <c r="J265" s="305">
        <f t="shared" si="47"/>
        <v>0</v>
      </c>
      <c r="K265" s="306">
        <f t="shared" si="50"/>
        <v>0</v>
      </c>
      <c r="L265" s="305">
        <f t="shared" si="51"/>
        <v>5978</v>
      </c>
      <c r="M265" s="431">
        <f>Données!AE265</f>
        <v>1</v>
      </c>
      <c r="N265" s="433">
        <v>1</v>
      </c>
      <c r="O265" s="300">
        <f t="shared" si="48"/>
        <v>0</v>
      </c>
      <c r="P265" s="305">
        <f t="shared" si="52"/>
        <v>0</v>
      </c>
      <c r="Q265" s="306">
        <f t="shared" si="54"/>
        <v>72076.647850446519</v>
      </c>
      <c r="R265" s="305">
        <f t="shared" si="55"/>
        <v>0</v>
      </c>
      <c r="S265" s="299">
        <f t="shared" si="56"/>
        <v>0</v>
      </c>
      <c r="T265" s="305">
        <f t="shared" ref="T265:T301" si="57">IF(M265&gt;N265,(-R265-S265)*(M265-N265),IF(M265&lt;N265,(C265*$R$305+L265*$S$305)*(N265-M265),IF(M265=N265,0,"Erreur")))</f>
        <v>0</v>
      </c>
      <c r="U265" s="428">
        <f t="shared" si="53"/>
        <v>72076.647850446519</v>
      </c>
    </row>
    <row r="266" spans="1:21" x14ac:dyDescent="0.25">
      <c r="A266" s="108">
        <f>Données!A266</f>
        <v>5884</v>
      </c>
      <c r="B266" s="109" t="str">
        <f>Données!B266</f>
        <v>Corsier-sur-Vevey</v>
      </c>
      <c r="C266" s="304">
        <f>Données!C266</f>
        <v>3458</v>
      </c>
      <c r="D266" s="300">
        <f t="shared" si="49"/>
        <v>1000</v>
      </c>
      <c r="E266" s="300">
        <f t="shared" si="47"/>
        <v>2000</v>
      </c>
      <c r="F266" s="305">
        <f t="shared" si="47"/>
        <v>458</v>
      </c>
      <c r="G266" s="299">
        <f t="shared" si="47"/>
        <v>0</v>
      </c>
      <c r="H266" s="300">
        <f t="shared" si="47"/>
        <v>0</v>
      </c>
      <c r="I266" s="305">
        <f t="shared" si="47"/>
        <v>0</v>
      </c>
      <c r="J266" s="305">
        <f t="shared" si="47"/>
        <v>0</v>
      </c>
      <c r="K266" s="306">
        <f t="shared" si="50"/>
        <v>0</v>
      </c>
      <c r="L266" s="305">
        <f t="shared" si="51"/>
        <v>9603</v>
      </c>
      <c r="M266" s="431">
        <f>Données!AE266</f>
        <v>1</v>
      </c>
      <c r="N266" s="433">
        <v>1</v>
      </c>
      <c r="O266" s="300">
        <f t="shared" si="48"/>
        <v>0</v>
      </c>
      <c r="P266" s="305">
        <f t="shared" si="52"/>
        <v>0</v>
      </c>
      <c r="Q266" s="306">
        <f t="shared" si="54"/>
        <v>107154.36296940845</v>
      </c>
      <c r="R266" s="305">
        <f t="shared" si="55"/>
        <v>0</v>
      </c>
      <c r="S266" s="299">
        <f t="shared" si="56"/>
        <v>0</v>
      </c>
      <c r="T266" s="305">
        <f t="shared" si="57"/>
        <v>0</v>
      </c>
      <c r="U266" s="428">
        <f t="shared" si="53"/>
        <v>107154.36296940845</v>
      </c>
    </row>
    <row r="267" spans="1:21" x14ac:dyDescent="0.25">
      <c r="A267" s="108">
        <f>Données!A267</f>
        <v>5885</v>
      </c>
      <c r="B267" s="109" t="str">
        <f>Données!B267</f>
        <v>Jongny</v>
      </c>
      <c r="C267" s="304">
        <f>Données!C267</f>
        <v>1917</v>
      </c>
      <c r="D267" s="300">
        <f t="shared" si="49"/>
        <v>1000</v>
      </c>
      <c r="E267" s="300">
        <f t="shared" si="47"/>
        <v>917</v>
      </c>
      <c r="F267" s="305">
        <f t="shared" si="47"/>
        <v>0</v>
      </c>
      <c r="G267" s="299">
        <f t="shared" si="47"/>
        <v>0</v>
      </c>
      <c r="H267" s="300">
        <f t="shared" si="47"/>
        <v>0</v>
      </c>
      <c r="I267" s="305">
        <f t="shared" si="47"/>
        <v>0</v>
      </c>
      <c r="J267" s="305">
        <f t="shared" si="47"/>
        <v>0</v>
      </c>
      <c r="K267" s="306">
        <f t="shared" si="50"/>
        <v>0</v>
      </c>
      <c r="L267" s="305">
        <f t="shared" si="51"/>
        <v>4751</v>
      </c>
      <c r="M267" s="431">
        <f>Données!AE267</f>
        <v>1</v>
      </c>
      <c r="N267" s="433">
        <v>1</v>
      </c>
      <c r="O267" s="300">
        <f t="shared" si="48"/>
        <v>0</v>
      </c>
      <c r="P267" s="305">
        <f t="shared" si="52"/>
        <v>0</v>
      </c>
      <c r="Q267" s="306">
        <f t="shared" si="54"/>
        <v>59402.809083966458</v>
      </c>
      <c r="R267" s="305">
        <f t="shared" si="55"/>
        <v>0</v>
      </c>
      <c r="S267" s="299">
        <f t="shared" si="56"/>
        <v>0</v>
      </c>
      <c r="T267" s="305">
        <f t="shared" si="57"/>
        <v>0</v>
      </c>
      <c r="U267" s="428">
        <f t="shared" si="53"/>
        <v>59402.809083966458</v>
      </c>
    </row>
    <row r="268" spans="1:21" x14ac:dyDescent="0.25">
      <c r="A268" s="108">
        <f>Données!A268</f>
        <v>5886</v>
      </c>
      <c r="B268" s="109" t="str">
        <f>Données!B268</f>
        <v>Montreux</v>
      </c>
      <c r="C268" s="304">
        <f>Données!C268</f>
        <v>27166</v>
      </c>
      <c r="D268" s="300">
        <f t="shared" si="49"/>
        <v>1000</v>
      </c>
      <c r="E268" s="300">
        <f t="shared" si="47"/>
        <v>2000</v>
      </c>
      <c r="F268" s="305">
        <f t="shared" si="47"/>
        <v>2000</v>
      </c>
      <c r="G268" s="299">
        <f t="shared" si="47"/>
        <v>7000</v>
      </c>
      <c r="H268" s="300">
        <f t="shared" si="47"/>
        <v>3000</v>
      </c>
      <c r="I268" s="305">
        <f t="shared" si="47"/>
        <v>12166</v>
      </c>
      <c r="J268" s="305">
        <f t="shared" si="47"/>
        <v>0</v>
      </c>
      <c r="K268" s="306">
        <f t="shared" si="50"/>
        <v>0</v>
      </c>
      <c r="L268" s="305">
        <f t="shared" si="51"/>
        <v>130996</v>
      </c>
      <c r="M268" s="431">
        <f>Données!AE268</f>
        <v>1</v>
      </c>
      <c r="N268" s="433">
        <v>1</v>
      </c>
      <c r="O268" s="300">
        <f t="shared" si="48"/>
        <v>0</v>
      </c>
      <c r="P268" s="305">
        <f t="shared" si="52"/>
        <v>0</v>
      </c>
      <c r="Q268" s="306">
        <f t="shared" si="54"/>
        <v>841803.18809339218</v>
      </c>
      <c r="R268" s="305">
        <f t="shared" si="55"/>
        <v>0</v>
      </c>
      <c r="S268" s="299">
        <f t="shared" si="56"/>
        <v>0</v>
      </c>
      <c r="T268" s="305">
        <f t="shared" si="57"/>
        <v>0</v>
      </c>
      <c r="U268" s="428">
        <f t="shared" si="53"/>
        <v>841803.18809339218</v>
      </c>
    </row>
    <row r="269" spans="1:21" x14ac:dyDescent="0.25">
      <c r="A269" s="108">
        <f>Données!A269</f>
        <v>5889</v>
      </c>
      <c r="B269" s="109" t="str">
        <f>Données!B269</f>
        <v>La Tour-de-Peilz</v>
      </c>
      <c r="C269" s="304">
        <f>Données!C269</f>
        <v>13053</v>
      </c>
      <c r="D269" s="300">
        <f t="shared" si="49"/>
        <v>1000</v>
      </c>
      <c r="E269" s="300">
        <f t="shared" si="47"/>
        <v>2000</v>
      </c>
      <c r="F269" s="305">
        <f t="shared" si="47"/>
        <v>2000</v>
      </c>
      <c r="G269" s="299">
        <f t="shared" si="47"/>
        <v>7000</v>
      </c>
      <c r="H269" s="300">
        <f t="shared" si="47"/>
        <v>1053</v>
      </c>
      <c r="I269" s="305">
        <f t="shared" si="47"/>
        <v>0</v>
      </c>
      <c r="J269" s="305">
        <f t="shared" si="47"/>
        <v>0</v>
      </c>
      <c r="K269" s="306">
        <f t="shared" si="50"/>
        <v>0</v>
      </c>
      <c r="L269" s="305">
        <f t="shared" si="51"/>
        <v>48265</v>
      </c>
      <c r="M269" s="431">
        <f>Données!AE269</f>
        <v>1</v>
      </c>
      <c r="N269" s="433">
        <v>1</v>
      </c>
      <c r="O269" s="300">
        <f t="shared" si="48"/>
        <v>0</v>
      </c>
      <c r="P269" s="305">
        <f t="shared" si="52"/>
        <v>0</v>
      </c>
      <c r="Q269" s="306">
        <f t="shared" si="54"/>
        <v>404478.28219771216</v>
      </c>
      <c r="R269" s="305">
        <f t="shared" si="55"/>
        <v>0</v>
      </c>
      <c r="S269" s="299">
        <f t="shared" si="56"/>
        <v>0</v>
      </c>
      <c r="T269" s="305">
        <f t="shared" si="57"/>
        <v>0</v>
      </c>
      <c r="U269" s="428">
        <f t="shared" si="53"/>
        <v>404478.28219771216</v>
      </c>
    </row>
    <row r="270" spans="1:21" x14ac:dyDescent="0.25">
      <c r="A270" s="108">
        <f>Données!A270</f>
        <v>5890</v>
      </c>
      <c r="B270" s="109" t="str">
        <f>Données!B270</f>
        <v>Vevey</v>
      </c>
      <c r="C270" s="304">
        <f>Données!C270</f>
        <v>20179</v>
      </c>
      <c r="D270" s="300">
        <f t="shared" si="49"/>
        <v>1000</v>
      </c>
      <c r="E270" s="300">
        <f t="shared" si="47"/>
        <v>2000</v>
      </c>
      <c r="F270" s="305">
        <f t="shared" si="47"/>
        <v>2000</v>
      </c>
      <c r="G270" s="299">
        <f t="shared" si="47"/>
        <v>7000</v>
      </c>
      <c r="H270" s="300">
        <f t="shared" si="47"/>
        <v>3000</v>
      </c>
      <c r="I270" s="305">
        <f t="shared" si="47"/>
        <v>5179</v>
      </c>
      <c r="J270" s="305">
        <f t="shared" si="47"/>
        <v>0</v>
      </c>
      <c r="K270" s="306">
        <f t="shared" si="50"/>
        <v>0</v>
      </c>
      <c r="L270" s="305">
        <f t="shared" si="51"/>
        <v>89074</v>
      </c>
      <c r="M270" s="431">
        <f>Données!AE270</f>
        <v>1</v>
      </c>
      <c r="N270" s="433">
        <v>1</v>
      </c>
      <c r="O270" s="300">
        <f t="shared" si="48"/>
        <v>0</v>
      </c>
      <c r="P270" s="305">
        <f t="shared" si="52"/>
        <v>0</v>
      </c>
      <c r="Q270" s="306">
        <f t="shared" si="54"/>
        <v>625294.35811442835</v>
      </c>
      <c r="R270" s="305">
        <f t="shared" si="55"/>
        <v>0</v>
      </c>
      <c r="S270" s="299">
        <f t="shared" si="56"/>
        <v>0</v>
      </c>
      <c r="T270" s="305">
        <f t="shared" si="57"/>
        <v>0</v>
      </c>
      <c r="U270" s="428">
        <f t="shared" si="53"/>
        <v>625294.35811442835</v>
      </c>
    </row>
    <row r="271" spans="1:21" x14ac:dyDescent="0.25">
      <c r="A271" s="108">
        <f>Données!A271</f>
        <v>5891</v>
      </c>
      <c r="B271" s="109" t="str">
        <f>Données!B271</f>
        <v>Veytaux</v>
      </c>
      <c r="C271" s="304">
        <f>Données!C271</f>
        <v>1008</v>
      </c>
      <c r="D271" s="300">
        <f t="shared" si="49"/>
        <v>1000</v>
      </c>
      <c r="E271" s="300">
        <f t="shared" si="47"/>
        <v>8</v>
      </c>
      <c r="F271" s="305">
        <f t="shared" si="47"/>
        <v>0</v>
      </c>
      <c r="G271" s="299">
        <f t="shared" si="47"/>
        <v>0</v>
      </c>
      <c r="H271" s="300">
        <f t="shared" si="47"/>
        <v>0</v>
      </c>
      <c r="I271" s="305">
        <f t="shared" si="47"/>
        <v>0</v>
      </c>
      <c r="J271" s="305">
        <f t="shared" si="47"/>
        <v>0</v>
      </c>
      <c r="K271" s="306">
        <f t="shared" si="50"/>
        <v>0</v>
      </c>
      <c r="L271" s="305">
        <f t="shared" si="51"/>
        <v>2024</v>
      </c>
      <c r="M271" s="431">
        <f>Données!AE271</f>
        <v>1</v>
      </c>
      <c r="N271" s="433">
        <v>1</v>
      </c>
      <c r="O271" s="300">
        <f t="shared" si="48"/>
        <v>0</v>
      </c>
      <c r="P271" s="305">
        <f t="shared" si="52"/>
        <v>0</v>
      </c>
      <c r="Q271" s="306">
        <f t="shared" si="54"/>
        <v>31235.279893916635</v>
      </c>
      <c r="R271" s="305">
        <f t="shared" si="55"/>
        <v>0</v>
      </c>
      <c r="S271" s="299">
        <f t="shared" si="56"/>
        <v>0</v>
      </c>
      <c r="T271" s="305">
        <f t="shared" si="57"/>
        <v>0</v>
      </c>
      <c r="U271" s="428">
        <f t="shared" si="53"/>
        <v>31235.279893916635</v>
      </c>
    </row>
    <row r="272" spans="1:21" x14ac:dyDescent="0.25">
      <c r="A272" s="108">
        <f>Données!A272</f>
        <v>5892</v>
      </c>
      <c r="B272" s="109" t="str">
        <f>Données!B272</f>
        <v>Blonay-Saint-Légier</v>
      </c>
      <c r="C272" s="304">
        <f>Données!C272</f>
        <v>12597</v>
      </c>
      <c r="D272" s="300">
        <f t="shared" si="49"/>
        <v>1000</v>
      </c>
      <c r="E272" s="300">
        <f t="shared" si="47"/>
        <v>2000</v>
      </c>
      <c r="F272" s="305">
        <f t="shared" si="47"/>
        <v>2000</v>
      </c>
      <c r="G272" s="299">
        <f t="shared" si="47"/>
        <v>7000</v>
      </c>
      <c r="H272" s="300">
        <f t="shared" si="47"/>
        <v>597</v>
      </c>
      <c r="I272" s="305">
        <f t="shared" si="47"/>
        <v>0</v>
      </c>
      <c r="J272" s="305">
        <f t="shared" si="47"/>
        <v>0</v>
      </c>
      <c r="K272" s="306">
        <f t="shared" si="50"/>
        <v>0</v>
      </c>
      <c r="L272" s="305">
        <f t="shared" si="51"/>
        <v>45985</v>
      </c>
      <c r="M272" s="431">
        <f>Données!AE272</f>
        <v>1</v>
      </c>
      <c r="N272" s="433">
        <v>1</v>
      </c>
      <c r="O272" s="300">
        <f t="shared" si="48"/>
        <v>0</v>
      </c>
      <c r="P272" s="305">
        <f t="shared" si="52"/>
        <v>0</v>
      </c>
      <c r="Q272" s="306">
        <f t="shared" si="54"/>
        <v>390348.03653141652</v>
      </c>
      <c r="R272" s="305">
        <f t="shared" si="55"/>
        <v>0</v>
      </c>
      <c r="S272" s="299">
        <f t="shared" si="56"/>
        <v>0</v>
      </c>
      <c r="T272" s="305">
        <f t="shared" si="57"/>
        <v>0</v>
      </c>
      <c r="U272" s="428">
        <f t="shared" si="53"/>
        <v>390348.03653141652</v>
      </c>
    </row>
    <row r="273" spans="1:21" x14ac:dyDescent="0.25">
      <c r="A273" s="108">
        <f>Données!A273</f>
        <v>5902</v>
      </c>
      <c r="B273" s="109" t="str">
        <f>Données!B273</f>
        <v>Belmont-sur-Yverdon</v>
      </c>
      <c r="C273" s="304">
        <f>Données!C273</f>
        <v>457</v>
      </c>
      <c r="D273" s="300">
        <f t="shared" si="49"/>
        <v>457</v>
      </c>
      <c r="E273" s="300">
        <f t="shared" si="47"/>
        <v>0</v>
      </c>
      <c r="F273" s="305">
        <f t="shared" si="47"/>
        <v>0</v>
      </c>
      <c r="G273" s="299">
        <f t="shared" si="47"/>
        <v>0</v>
      </c>
      <c r="H273" s="300">
        <f t="shared" si="47"/>
        <v>0</v>
      </c>
      <c r="I273" s="305">
        <f t="shared" si="47"/>
        <v>0</v>
      </c>
      <c r="J273" s="305">
        <f t="shared" si="47"/>
        <v>0</v>
      </c>
      <c r="K273" s="306">
        <f t="shared" si="50"/>
        <v>0</v>
      </c>
      <c r="L273" s="305">
        <f t="shared" si="51"/>
        <v>914</v>
      </c>
      <c r="M273" s="431">
        <f>Données!AE273</f>
        <v>0</v>
      </c>
      <c r="N273" s="433">
        <v>0</v>
      </c>
      <c r="O273" s="300">
        <f t="shared" si="48"/>
        <v>457</v>
      </c>
      <c r="P273" s="305">
        <f t="shared" si="52"/>
        <v>914</v>
      </c>
      <c r="Q273" s="306">
        <f t="shared" si="54"/>
        <v>14161.233047142759</v>
      </c>
      <c r="R273" s="305">
        <f t="shared" si="55"/>
        <v>31026.506659695642</v>
      </c>
      <c r="S273" s="299">
        <f t="shared" si="56"/>
        <v>22930.383662874137</v>
      </c>
      <c r="T273" s="305">
        <f t="shared" si="57"/>
        <v>0</v>
      </c>
      <c r="U273" s="428">
        <f t="shared" si="53"/>
        <v>68118.123369712543</v>
      </c>
    </row>
    <row r="274" spans="1:21" x14ac:dyDescent="0.25">
      <c r="A274" s="108">
        <f>Données!A274</f>
        <v>5903</v>
      </c>
      <c r="B274" s="109" t="str">
        <f>Données!B274</f>
        <v>Bioley-Magnoux</v>
      </c>
      <c r="C274" s="304">
        <f>Données!C274</f>
        <v>252</v>
      </c>
      <c r="D274" s="300">
        <f t="shared" si="49"/>
        <v>252</v>
      </c>
      <c r="E274" s="300">
        <f t="shared" ref="E274:J301" si="58">IF($C274&lt;E$4,0,IF($C274&gt;E$5,E$5-E$4,$C274-E$4))</f>
        <v>0</v>
      </c>
      <c r="F274" s="305">
        <f t="shared" si="58"/>
        <v>0</v>
      </c>
      <c r="G274" s="299">
        <f t="shared" si="58"/>
        <v>0</v>
      </c>
      <c r="H274" s="300">
        <f t="shared" si="58"/>
        <v>0</v>
      </c>
      <c r="I274" s="305">
        <f t="shared" si="58"/>
        <v>0</v>
      </c>
      <c r="J274" s="305">
        <f t="shared" si="58"/>
        <v>0</v>
      </c>
      <c r="K274" s="306">
        <f t="shared" si="50"/>
        <v>0</v>
      </c>
      <c r="L274" s="305">
        <f t="shared" si="51"/>
        <v>504</v>
      </c>
      <c r="M274" s="431">
        <f>Données!AE274</f>
        <v>0</v>
      </c>
      <c r="N274" s="433">
        <v>0</v>
      </c>
      <c r="O274" s="300">
        <f t="shared" si="48"/>
        <v>252</v>
      </c>
      <c r="P274" s="305">
        <f t="shared" si="52"/>
        <v>504</v>
      </c>
      <c r="Q274" s="306">
        <f t="shared" si="54"/>
        <v>7808.8199734791588</v>
      </c>
      <c r="R274" s="305">
        <f t="shared" si="55"/>
        <v>17108.708267490812</v>
      </c>
      <c r="S274" s="299">
        <f t="shared" si="56"/>
        <v>12644.32534582994</v>
      </c>
      <c r="T274" s="305">
        <f t="shared" si="57"/>
        <v>0</v>
      </c>
      <c r="U274" s="428">
        <f t="shared" si="53"/>
        <v>37561.853586799916</v>
      </c>
    </row>
    <row r="275" spans="1:21" x14ac:dyDescent="0.25">
      <c r="A275" s="108">
        <f>Données!A275</f>
        <v>5904</v>
      </c>
      <c r="B275" s="109" t="str">
        <f>Données!B275</f>
        <v>Chamblon</v>
      </c>
      <c r="C275" s="304">
        <f>Données!C275</f>
        <v>558</v>
      </c>
      <c r="D275" s="300">
        <f t="shared" si="49"/>
        <v>558</v>
      </c>
      <c r="E275" s="300">
        <f t="shared" si="58"/>
        <v>0</v>
      </c>
      <c r="F275" s="305">
        <f t="shared" si="58"/>
        <v>0</v>
      </c>
      <c r="G275" s="299">
        <f t="shared" si="58"/>
        <v>0</v>
      </c>
      <c r="H275" s="300">
        <f t="shared" si="58"/>
        <v>0</v>
      </c>
      <c r="I275" s="305">
        <f t="shared" si="58"/>
        <v>0</v>
      </c>
      <c r="J275" s="305">
        <f t="shared" si="58"/>
        <v>0</v>
      </c>
      <c r="K275" s="306">
        <f t="shared" si="50"/>
        <v>0</v>
      </c>
      <c r="L275" s="305">
        <f t="shared" si="51"/>
        <v>1116</v>
      </c>
      <c r="M275" s="431">
        <f>Données!AE275</f>
        <v>1</v>
      </c>
      <c r="N275" s="433">
        <v>1</v>
      </c>
      <c r="O275" s="300">
        <f t="shared" si="48"/>
        <v>0</v>
      </c>
      <c r="P275" s="305">
        <f t="shared" si="52"/>
        <v>0</v>
      </c>
      <c r="Q275" s="306">
        <f t="shared" si="54"/>
        <v>17290.958512703852</v>
      </c>
      <c r="R275" s="305">
        <f t="shared" si="55"/>
        <v>0</v>
      </c>
      <c r="S275" s="299">
        <f t="shared" si="56"/>
        <v>0</v>
      </c>
      <c r="T275" s="305">
        <f t="shared" si="57"/>
        <v>0</v>
      </c>
      <c r="U275" s="428">
        <f t="shared" si="53"/>
        <v>17290.958512703852</v>
      </c>
    </row>
    <row r="276" spans="1:21" x14ac:dyDescent="0.25">
      <c r="A276" s="108">
        <f>Données!A276</f>
        <v>5905</v>
      </c>
      <c r="B276" s="109" t="str">
        <f>Données!B276</f>
        <v>Champvent</v>
      </c>
      <c r="C276" s="304">
        <f>Données!C276</f>
        <v>692</v>
      </c>
      <c r="D276" s="300">
        <f t="shared" si="49"/>
        <v>692</v>
      </c>
      <c r="E276" s="300">
        <f t="shared" si="58"/>
        <v>0</v>
      </c>
      <c r="F276" s="305">
        <f t="shared" si="58"/>
        <v>0</v>
      </c>
      <c r="G276" s="299">
        <f t="shared" si="58"/>
        <v>0</v>
      </c>
      <c r="H276" s="300">
        <f t="shared" si="58"/>
        <v>0</v>
      </c>
      <c r="I276" s="305">
        <f t="shared" si="58"/>
        <v>0</v>
      </c>
      <c r="J276" s="305">
        <f t="shared" si="58"/>
        <v>0</v>
      </c>
      <c r="K276" s="306">
        <f t="shared" si="50"/>
        <v>0</v>
      </c>
      <c r="L276" s="305">
        <f t="shared" si="51"/>
        <v>1384</v>
      </c>
      <c r="M276" s="431">
        <f>Données!AE276</f>
        <v>0</v>
      </c>
      <c r="N276" s="433">
        <v>0</v>
      </c>
      <c r="O276" s="300">
        <f t="shared" si="48"/>
        <v>692</v>
      </c>
      <c r="P276" s="305">
        <f t="shared" si="52"/>
        <v>1384</v>
      </c>
      <c r="Q276" s="306">
        <f t="shared" si="54"/>
        <v>21443.267546220548</v>
      </c>
      <c r="R276" s="305">
        <f t="shared" si="55"/>
        <v>46981.05603612557</v>
      </c>
      <c r="S276" s="299">
        <f t="shared" si="56"/>
        <v>34721.718806802848</v>
      </c>
      <c r="T276" s="305">
        <f t="shared" si="57"/>
        <v>0</v>
      </c>
      <c r="U276" s="428">
        <f t="shared" si="53"/>
        <v>103146.04238914896</v>
      </c>
    </row>
    <row r="277" spans="1:21" x14ac:dyDescent="0.25">
      <c r="A277" s="108">
        <f>Données!A277</f>
        <v>5907</v>
      </c>
      <c r="B277" s="109" t="str">
        <f>Données!B277</f>
        <v>Chavannes-le-Chêne</v>
      </c>
      <c r="C277" s="304">
        <f>Données!C277</f>
        <v>329</v>
      </c>
      <c r="D277" s="300">
        <f t="shared" si="49"/>
        <v>329</v>
      </c>
      <c r="E277" s="300">
        <f t="shared" si="58"/>
        <v>0</v>
      </c>
      <c r="F277" s="305">
        <f t="shared" si="58"/>
        <v>0</v>
      </c>
      <c r="G277" s="299">
        <f t="shared" si="58"/>
        <v>0</v>
      </c>
      <c r="H277" s="300">
        <f t="shared" si="58"/>
        <v>0</v>
      </c>
      <c r="I277" s="305">
        <f t="shared" si="58"/>
        <v>0</v>
      </c>
      <c r="J277" s="305">
        <f t="shared" si="58"/>
        <v>0</v>
      </c>
      <c r="K277" s="306">
        <f t="shared" si="50"/>
        <v>0</v>
      </c>
      <c r="L277" s="305">
        <f t="shared" si="51"/>
        <v>658</v>
      </c>
      <c r="M277" s="431">
        <f>Données!AE277</f>
        <v>0</v>
      </c>
      <c r="N277" s="433">
        <v>0</v>
      </c>
      <c r="O277" s="300">
        <f t="shared" si="48"/>
        <v>329</v>
      </c>
      <c r="P277" s="305">
        <f t="shared" si="52"/>
        <v>658</v>
      </c>
      <c r="Q277" s="306">
        <f t="shared" si="54"/>
        <v>10194.848298708901</v>
      </c>
      <c r="R277" s="305">
        <f t="shared" si="55"/>
        <v>22336.369127001897</v>
      </c>
      <c r="S277" s="299">
        <f t="shared" si="56"/>
        <v>16507.869201500198</v>
      </c>
      <c r="T277" s="305">
        <f t="shared" si="57"/>
        <v>0</v>
      </c>
      <c r="U277" s="428">
        <f t="shared" si="53"/>
        <v>49039.086627211</v>
      </c>
    </row>
    <row r="278" spans="1:21" x14ac:dyDescent="0.25">
      <c r="A278" s="108">
        <f>Données!A278</f>
        <v>5908</v>
      </c>
      <c r="B278" s="109" t="str">
        <f>Données!B278</f>
        <v>Chêne-Pâquier</v>
      </c>
      <c r="C278" s="304">
        <f>Données!C278</f>
        <v>172</v>
      </c>
      <c r="D278" s="300">
        <f t="shared" si="49"/>
        <v>172</v>
      </c>
      <c r="E278" s="300">
        <f t="shared" si="58"/>
        <v>0</v>
      </c>
      <c r="F278" s="305">
        <f t="shared" si="58"/>
        <v>0</v>
      </c>
      <c r="G278" s="299">
        <f t="shared" si="58"/>
        <v>0</v>
      </c>
      <c r="H278" s="300">
        <f t="shared" si="58"/>
        <v>0</v>
      </c>
      <c r="I278" s="305">
        <f t="shared" si="58"/>
        <v>0</v>
      </c>
      <c r="J278" s="305">
        <f t="shared" si="58"/>
        <v>0</v>
      </c>
      <c r="K278" s="306">
        <f t="shared" si="50"/>
        <v>0</v>
      </c>
      <c r="L278" s="305">
        <f t="shared" si="51"/>
        <v>344</v>
      </c>
      <c r="M278" s="431">
        <f>Données!AE278</f>
        <v>0</v>
      </c>
      <c r="N278" s="433">
        <v>0</v>
      </c>
      <c r="O278" s="300">
        <f t="shared" si="48"/>
        <v>172</v>
      </c>
      <c r="P278" s="305">
        <f t="shared" si="52"/>
        <v>344</v>
      </c>
      <c r="Q278" s="306">
        <f t="shared" si="54"/>
        <v>5329.8295057079977</v>
      </c>
      <c r="R278" s="305">
        <f t="shared" si="55"/>
        <v>11677.372309557222</v>
      </c>
      <c r="S278" s="299">
        <f t="shared" si="56"/>
        <v>8630.2538074712284</v>
      </c>
      <c r="T278" s="305">
        <f t="shared" si="57"/>
        <v>0</v>
      </c>
      <c r="U278" s="428">
        <f t="shared" si="53"/>
        <v>25637.455622736448</v>
      </c>
    </row>
    <row r="279" spans="1:21" x14ac:dyDescent="0.25">
      <c r="A279" s="108">
        <f>Données!A279</f>
        <v>5909</v>
      </c>
      <c r="B279" s="109" t="str">
        <f>Données!B279</f>
        <v>Cheseaux-Noréaz</v>
      </c>
      <c r="C279" s="304">
        <f>Données!C279</f>
        <v>745</v>
      </c>
      <c r="D279" s="300">
        <f t="shared" si="49"/>
        <v>745</v>
      </c>
      <c r="E279" s="300">
        <f t="shared" si="58"/>
        <v>0</v>
      </c>
      <c r="F279" s="305">
        <f t="shared" si="58"/>
        <v>0</v>
      </c>
      <c r="G279" s="299">
        <f t="shared" si="58"/>
        <v>0</v>
      </c>
      <c r="H279" s="300">
        <f t="shared" si="58"/>
        <v>0</v>
      </c>
      <c r="I279" s="305">
        <f t="shared" si="58"/>
        <v>0</v>
      </c>
      <c r="J279" s="305">
        <f t="shared" si="58"/>
        <v>0</v>
      </c>
      <c r="K279" s="306">
        <f t="shared" si="50"/>
        <v>0</v>
      </c>
      <c r="L279" s="305">
        <f t="shared" si="51"/>
        <v>1490</v>
      </c>
      <c r="M279" s="431">
        <f>Données!AE279</f>
        <v>1</v>
      </c>
      <c r="N279" s="433">
        <v>1</v>
      </c>
      <c r="O279" s="300">
        <f t="shared" si="48"/>
        <v>0</v>
      </c>
      <c r="P279" s="305">
        <f t="shared" si="52"/>
        <v>0</v>
      </c>
      <c r="Q279" s="306">
        <f t="shared" si="54"/>
        <v>23085.598731118942</v>
      </c>
      <c r="R279" s="305">
        <f t="shared" si="55"/>
        <v>0</v>
      </c>
      <c r="S279" s="299">
        <f t="shared" si="56"/>
        <v>0</v>
      </c>
      <c r="T279" s="305">
        <f t="shared" si="57"/>
        <v>0</v>
      </c>
      <c r="U279" s="428">
        <f t="shared" si="53"/>
        <v>23085.598731118942</v>
      </c>
    </row>
    <row r="280" spans="1:21" x14ac:dyDescent="0.25">
      <c r="A280" s="108">
        <f>Données!A280</f>
        <v>5910</v>
      </c>
      <c r="B280" s="109" t="str">
        <f>Données!B280</f>
        <v>Cronay</v>
      </c>
      <c r="C280" s="304">
        <f>Données!C280</f>
        <v>432</v>
      </c>
      <c r="D280" s="300">
        <f t="shared" si="49"/>
        <v>432</v>
      </c>
      <c r="E280" s="300">
        <f t="shared" si="58"/>
        <v>0</v>
      </c>
      <c r="F280" s="305">
        <f t="shared" si="58"/>
        <v>0</v>
      </c>
      <c r="G280" s="299">
        <f t="shared" si="58"/>
        <v>0</v>
      </c>
      <c r="H280" s="300">
        <f t="shared" si="58"/>
        <v>0</v>
      </c>
      <c r="I280" s="305">
        <f t="shared" si="58"/>
        <v>0</v>
      </c>
      <c r="J280" s="305">
        <f t="shared" si="58"/>
        <v>0</v>
      </c>
      <c r="K280" s="306">
        <f t="shared" si="50"/>
        <v>0</v>
      </c>
      <c r="L280" s="305">
        <f t="shared" si="51"/>
        <v>864</v>
      </c>
      <c r="M280" s="431">
        <f>Données!AE280</f>
        <v>0</v>
      </c>
      <c r="N280" s="433">
        <v>0</v>
      </c>
      <c r="O280" s="300">
        <f t="shared" si="48"/>
        <v>432</v>
      </c>
      <c r="P280" s="305">
        <f t="shared" si="52"/>
        <v>864</v>
      </c>
      <c r="Q280" s="306">
        <f t="shared" si="54"/>
        <v>13386.548525964272</v>
      </c>
      <c r="R280" s="305">
        <f t="shared" si="55"/>
        <v>29329.214172841395</v>
      </c>
      <c r="S280" s="299">
        <f t="shared" si="56"/>
        <v>21675.986307137038</v>
      </c>
      <c r="T280" s="305">
        <f t="shared" si="57"/>
        <v>0</v>
      </c>
      <c r="U280" s="428">
        <f t="shared" si="53"/>
        <v>64391.749005942707</v>
      </c>
    </row>
    <row r="281" spans="1:21" x14ac:dyDescent="0.25">
      <c r="A281" s="108">
        <f>Données!A281</f>
        <v>5911</v>
      </c>
      <c r="B281" s="109" t="str">
        <f>Données!B281</f>
        <v>Cuarny</v>
      </c>
      <c r="C281" s="304">
        <f>Données!C281</f>
        <v>244</v>
      </c>
      <c r="D281" s="300">
        <f t="shared" si="49"/>
        <v>244</v>
      </c>
      <c r="E281" s="300">
        <f t="shared" si="58"/>
        <v>0</v>
      </c>
      <c r="F281" s="305">
        <f t="shared" si="58"/>
        <v>0</v>
      </c>
      <c r="G281" s="299">
        <f t="shared" si="58"/>
        <v>0</v>
      </c>
      <c r="H281" s="300">
        <f t="shared" si="58"/>
        <v>0</v>
      </c>
      <c r="I281" s="305">
        <f t="shared" si="58"/>
        <v>0</v>
      </c>
      <c r="J281" s="305">
        <f t="shared" si="58"/>
        <v>0</v>
      </c>
      <c r="K281" s="306">
        <f t="shared" si="50"/>
        <v>0</v>
      </c>
      <c r="L281" s="305">
        <f t="shared" si="51"/>
        <v>488</v>
      </c>
      <c r="M281" s="431">
        <f>Données!AE281</f>
        <v>0</v>
      </c>
      <c r="N281" s="433">
        <v>0</v>
      </c>
      <c r="O281" s="300">
        <f t="shared" si="48"/>
        <v>244</v>
      </c>
      <c r="P281" s="305">
        <f t="shared" si="52"/>
        <v>488</v>
      </c>
      <c r="Q281" s="306">
        <f t="shared" si="54"/>
        <v>7560.9209267020424</v>
      </c>
      <c r="R281" s="305">
        <f t="shared" si="55"/>
        <v>16565.574671697454</v>
      </c>
      <c r="S281" s="299">
        <f t="shared" si="56"/>
        <v>12242.918191994069</v>
      </c>
      <c r="T281" s="305">
        <f t="shared" si="57"/>
        <v>0</v>
      </c>
      <c r="U281" s="428">
        <f t="shared" si="53"/>
        <v>36369.413790393563</v>
      </c>
    </row>
    <row r="282" spans="1:21" x14ac:dyDescent="0.25">
      <c r="A282" s="108">
        <f>Données!A282</f>
        <v>5912</v>
      </c>
      <c r="B282" s="109" t="str">
        <f>Données!B282</f>
        <v>Démoret</v>
      </c>
      <c r="C282" s="304">
        <f>Données!C282</f>
        <v>181</v>
      </c>
      <c r="D282" s="300">
        <f t="shared" si="49"/>
        <v>181</v>
      </c>
      <c r="E282" s="300">
        <f t="shared" si="58"/>
        <v>0</v>
      </c>
      <c r="F282" s="305">
        <f t="shared" si="58"/>
        <v>0</v>
      </c>
      <c r="G282" s="299">
        <f t="shared" si="58"/>
        <v>0</v>
      </c>
      <c r="H282" s="300">
        <f t="shared" si="58"/>
        <v>0</v>
      </c>
      <c r="I282" s="305">
        <f t="shared" si="58"/>
        <v>0</v>
      </c>
      <c r="J282" s="305">
        <f t="shared" si="58"/>
        <v>0</v>
      </c>
      <c r="K282" s="306">
        <f t="shared" si="50"/>
        <v>0</v>
      </c>
      <c r="L282" s="305">
        <f t="shared" si="51"/>
        <v>362</v>
      </c>
      <c r="M282" s="431">
        <f>Données!AE282</f>
        <v>0</v>
      </c>
      <c r="N282" s="433">
        <v>0</v>
      </c>
      <c r="O282" s="300">
        <f t="shared" si="48"/>
        <v>181</v>
      </c>
      <c r="P282" s="305">
        <f t="shared" si="52"/>
        <v>362</v>
      </c>
      <c r="Q282" s="306">
        <f t="shared" si="54"/>
        <v>5608.7159333322534</v>
      </c>
      <c r="R282" s="305">
        <f t="shared" si="55"/>
        <v>12288.397604824751</v>
      </c>
      <c r="S282" s="299">
        <f t="shared" si="56"/>
        <v>9081.8368555365832</v>
      </c>
      <c r="T282" s="305">
        <f t="shared" si="57"/>
        <v>0</v>
      </c>
      <c r="U282" s="428">
        <f t="shared" si="53"/>
        <v>26978.950393693587</v>
      </c>
    </row>
    <row r="283" spans="1:21" x14ac:dyDescent="0.25">
      <c r="A283" s="108">
        <f>Données!A283</f>
        <v>5913</v>
      </c>
      <c r="B283" s="109" t="str">
        <f>Données!B283</f>
        <v>Donneloye</v>
      </c>
      <c r="C283" s="304">
        <f>Données!C283</f>
        <v>905</v>
      </c>
      <c r="D283" s="300">
        <f t="shared" si="49"/>
        <v>905</v>
      </c>
      <c r="E283" s="300">
        <f t="shared" si="58"/>
        <v>0</v>
      </c>
      <c r="F283" s="305">
        <f t="shared" si="58"/>
        <v>0</v>
      </c>
      <c r="G283" s="299">
        <f t="shared" si="58"/>
        <v>0</v>
      </c>
      <c r="H283" s="300">
        <f t="shared" si="58"/>
        <v>0</v>
      </c>
      <c r="I283" s="305">
        <f t="shared" si="58"/>
        <v>0</v>
      </c>
      <c r="J283" s="305">
        <f t="shared" si="58"/>
        <v>0</v>
      </c>
      <c r="K283" s="306">
        <f t="shared" si="50"/>
        <v>0</v>
      </c>
      <c r="L283" s="305">
        <f t="shared" si="51"/>
        <v>1810</v>
      </c>
      <c r="M283" s="431">
        <f>Données!AE283</f>
        <v>0</v>
      </c>
      <c r="N283" s="433">
        <v>0</v>
      </c>
      <c r="O283" s="300">
        <f t="shared" si="48"/>
        <v>905</v>
      </c>
      <c r="P283" s="305">
        <f t="shared" si="52"/>
        <v>1810</v>
      </c>
      <c r="Q283" s="306">
        <f t="shared" si="54"/>
        <v>28043.579666661266</v>
      </c>
      <c r="R283" s="305">
        <f t="shared" si="55"/>
        <v>61441.988024123755</v>
      </c>
      <c r="S283" s="299">
        <f t="shared" si="56"/>
        <v>45409.184277682922</v>
      </c>
      <c r="T283" s="305">
        <f t="shared" si="57"/>
        <v>0</v>
      </c>
      <c r="U283" s="428">
        <f t="shared" si="53"/>
        <v>134894.75196846793</v>
      </c>
    </row>
    <row r="284" spans="1:21" x14ac:dyDescent="0.25">
      <c r="A284" s="108">
        <f>Données!A284</f>
        <v>5914</v>
      </c>
      <c r="B284" s="109" t="str">
        <f>Données!B284</f>
        <v>Ependes</v>
      </c>
      <c r="C284" s="304">
        <f>Données!C284</f>
        <v>376</v>
      </c>
      <c r="D284" s="300">
        <f t="shared" si="49"/>
        <v>376</v>
      </c>
      <c r="E284" s="300">
        <f t="shared" si="58"/>
        <v>0</v>
      </c>
      <c r="F284" s="305">
        <f t="shared" si="58"/>
        <v>0</v>
      </c>
      <c r="G284" s="299">
        <f t="shared" si="58"/>
        <v>0</v>
      </c>
      <c r="H284" s="300">
        <f t="shared" si="58"/>
        <v>0</v>
      </c>
      <c r="I284" s="305">
        <f t="shared" si="58"/>
        <v>0</v>
      </c>
      <c r="J284" s="305">
        <f t="shared" si="58"/>
        <v>0</v>
      </c>
      <c r="K284" s="306">
        <f t="shared" si="50"/>
        <v>0</v>
      </c>
      <c r="L284" s="305">
        <f t="shared" si="51"/>
        <v>752</v>
      </c>
      <c r="M284" s="431">
        <f>Données!AE284</f>
        <v>1</v>
      </c>
      <c r="N284" s="433">
        <v>1</v>
      </c>
      <c r="O284" s="300">
        <f t="shared" si="48"/>
        <v>0</v>
      </c>
      <c r="P284" s="305">
        <f t="shared" si="52"/>
        <v>0</v>
      </c>
      <c r="Q284" s="306">
        <f t="shared" si="54"/>
        <v>11651.255198524459</v>
      </c>
      <c r="R284" s="305">
        <f t="shared" si="55"/>
        <v>0</v>
      </c>
      <c r="S284" s="299">
        <f t="shared" si="56"/>
        <v>0</v>
      </c>
      <c r="T284" s="305">
        <f t="shared" si="57"/>
        <v>0</v>
      </c>
      <c r="U284" s="428">
        <f t="shared" si="53"/>
        <v>11651.255198524459</v>
      </c>
    </row>
    <row r="285" spans="1:21" x14ac:dyDescent="0.25">
      <c r="A285" s="108">
        <f>Données!A285</f>
        <v>5941</v>
      </c>
      <c r="B285" s="109" t="str">
        <f>Données!B285</f>
        <v>Mathod-Suscévaz</v>
      </c>
      <c r="C285" s="304">
        <f>Données!C285</f>
        <v>1003</v>
      </c>
      <c r="D285" s="300">
        <f t="shared" si="49"/>
        <v>1000</v>
      </c>
      <c r="E285" s="300">
        <f t="shared" si="58"/>
        <v>3</v>
      </c>
      <c r="F285" s="305">
        <f t="shared" si="58"/>
        <v>0</v>
      </c>
      <c r="G285" s="299">
        <f t="shared" si="58"/>
        <v>0</v>
      </c>
      <c r="H285" s="300">
        <f t="shared" si="58"/>
        <v>0</v>
      </c>
      <c r="I285" s="305">
        <f t="shared" si="58"/>
        <v>0</v>
      </c>
      <c r="J285" s="305">
        <f t="shared" si="58"/>
        <v>0</v>
      </c>
      <c r="K285" s="306">
        <f t="shared" si="50"/>
        <v>0</v>
      </c>
      <c r="L285" s="305">
        <f t="shared" si="51"/>
        <v>2009</v>
      </c>
      <c r="M285" s="431">
        <f>Données!AE285</f>
        <v>1</v>
      </c>
      <c r="N285" s="433">
        <v>1</v>
      </c>
      <c r="O285" s="300">
        <f t="shared" si="48"/>
        <v>0</v>
      </c>
      <c r="P285" s="305">
        <f t="shared" si="52"/>
        <v>0</v>
      </c>
      <c r="Q285" s="306">
        <f t="shared" si="54"/>
        <v>31080.342989680939</v>
      </c>
      <c r="R285" s="305">
        <f t="shared" si="55"/>
        <v>0</v>
      </c>
      <c r="S285" s="299">
        <f t="shared" si="56"/>
        <v>0</v>
      </c>
      <c r="T285" s="305">
        <f t="shared" si="57"/>
        <v>0</v>
      </c>
      <c r="U285" s="428">
        <f t="shared" si="53"/>
        <v>31080.342989680939</v>
      </c>
    </row>
    <row r="286" spans="1:21" x14ac:dyDescent="0.25">
      <c r="A286" s="108">
        <f>Données!A286</f>
        <v>5921</v>
      </c>
      <c r="B286" s="109" t="str">
        <f>Données!B286</f>
        <v>Molondin</v>
      </c>
      <c r="C286" s="304">
        <f>Données!C286</f>
        <v>260</v>
      </c>
      <c r="D286" s="300">
        <f t="shared" si="49"/>
        <v>260</v>
      </c>
      <c r="E286" s="300">
        <f t="shared" si="58"/>
        <v>0</v>
      </c>
      <c r="F286" s="305">
        <f t="shared" si="58"/>
        <v>0</v>
      </c>
      <c r="G286" s="299">
        <f t="shared" si="58"/>
        <v>0</v>
      </c>
      <c r="H286" s="300">
        <f t="shared" si="58"/>
        <v>0</v>
      </c>
      <c r="I286" s="305">
        <f t="shared" si="58"/>
        <v>0</v>
      </c>
      <c r="J286" s="305">
        <f t="shared" si="58"/>
        <v>0</v>
      </c>
      <c r="K286" s="306">
        <f t="shared" si="50"/>
        <v>0</v>
      </c>
      <c r="L286" s="305">
        <f t="shared" si="51"/>
        <v>520</v>
      </c>
      <c r="M286" s="431">
        <f>Données!AE286</f>
        <v>0</v>
      </c>
      <c r="N286" s="433">
        <v>0</v>
      </c>
      <c r="O286" s="300">
        <f t="shared" si="48"/>
        <v>260</v>
      </c>
      <c r="P286" s="305">
        <f t="shared" si="52"/>
        <v>520</v>
      </c>
      <c r="Q286" s="306">
        <f t="shared" si="54"/>
        <v>8056.7190202562751</v>
      </c>
      <c r="R286" s="305">
        <f t="shared" si="55"/>
        <v>17651.841863284175</v>
      </c>
      <c r="S286" s="299">
        <f t="shared" si="56"/>
        <v>13045.73249966581</v>
      </c>
      <c r="T286" s="305">
        <f t="shared" si="57"/>
        <v>0</v>
      </c>
      <c r="U286" s="428">
        <f t="shared" si="53"/>
        <v>38754.293383206255</v>
      </c>
    </row>
    <row r="287" spans="1:21" x14ac:dyDescent="0.25">
      <c r="A287" s="108">
        <f>Données!A287</f>
        <v>5922</v>
      </c>
      <c r="B287" s="109" t="str">
        <f>Données!B287</f>
        <v>Montagny-près-Yverdon</v>
      </c>
      <c r="C287" s="304">
        <f>Données!C287</f>
        <v>768</v>
      </c>
      <c r="D287" s="300">
        <f t="shared" si="49"/>
        <v>768</v>
      </c>
      <c r="E287" s="300">
        <f t="shared" si="58"/>
        <v>0</v>
      </c>
      <c r="F287" s="305">
        <f t="shared" si="58"/>
        <v>0</v>
      </c>
      <c r="G287" s="299">
        <f t="shared" si="58"/>
        <v>0</v>
      </c>
      <c r="H287" s="300">
        <f t="shared" si="58"/>
        <v>0</v>
      </c>
      <c r="I287" s="305">
        <f t="shared" si="58"/>
        <v>0</v>
      </c>
      <c r="J287" s="305">
        <f t="shared" si="58"/>
        <v>0</v>
      </c>
      <c r="K287" s="306">
        <f t="shared" si="50"/>
        <v>0</v>
      </c>
      <c r="L287" s="305">
        <f t="shared" si="51"/>
        <v>1536</v>
      </c>
      <c r="M287" s="431">
        <f>Données!AE287</f>
        <v>0</v>
      </c>
      <c r="N287" s="433">
        <v>0</v>
      </c>
      <c r="O287" s="300">
        <f t="shared" si="48"/>
        <v>768</v>
      </c>
      <c r="P287" s="305">
        <f t="shared" si="52"/>
        <v>1536</v>
      </c>
      <c r="Q287" s="306">
        <f t="shared" si="54"/>
        <v>23798.308490603151</v>
      </c>
      <c r="R287" s="305">
        <f t="shared" si="55"/>
        <v>52140.825196162477</v>
      </c>
      <c r="S287" s="299">
        <f t="shared" si="56"/>
        <v>38535.086768243622</v>
      </c>
      <c r="T287" s="305">
        <f t="shared" si="57"/>
        <v>0</v>
      </c>
      <c r="U287" s="428">
        <f t="shared" si="53"/>
        <v>114474.22045500924</v>
      </c>
    </row>
    <row r="288" spans="1:21" x14ac:dyDescent="0.25">
      <c r="A288" s="108">
        <f>Données!A288</f>
        <v>5923</v>
      </c>
      <c r="B288" s="109" t="str">
        <f>Données!B288</f>
        <v>Oppens</v>
      </c>
      <c r="C288" s="304">
        <f>Données!C288</f>
        <v>201</v>
      </c>
      <c r="D288" s="300">
        <f t="shared" si="49"/>
        <v>201</v>
      </c>
      <c r="E288" s="300">
        <f t="shared" si="58"/>
        <v>0</v>
      </c>
      <c r="F288" s="305">
        <f t="shared" si="58"/>
        <v>0</v>
      </c>
      <c r="G288" s="299">
        <f t="shared" si="58"/>
        <v>0</v>
      </c>
      <c r="H288" s="300">
        <f t="shared" si="58"/>
        <v>0</v>
      </c>
      <c r="I288" s="305">
        <f t="shared" si="58"/>
        <v>0</v>
      </c>
      <c r="J288" s="305">
        <f t="shared" si="58"/>
        <v>0</v>
      </c>
      <c r="K288" s="306">
        <f t="shared" si="50"/>
        <v>0</v>
      </c>
      <c r="L288" s="305">
        <f t="shared" si="51"/>
        <v>402</v>
      </c>
      <c r="M288" s="431">
        <f>Données!AE288</f>
        <v>0</v>
      </c>
      <c r="N288" s="433">
        <v>0</v>
      </c>
      <c r="O288" s="300">
        <f t="shared" si="48"/>
        <v>201</v>
      </c>
      <c r="P288" s="305">
        <f t="shared" si="52"/>
        <v>402</v>
      </c>
      <c r="Q288" s="306">
        <f t="shared" si="54"/>
        <v>6228.4635502750434</v>
      </c>
      <c r="R288" s="305">
        <f t="shared" si="55"/>
        <v>13646.231594308148</v>
      </c>
      <c r="S288" s="299">
        <f t="shared" si="56"/>
        <v>10085.354740126262</v>
      </c>
      <c r="T288" s="305">
        <f t="shared" si="57"/>
        <v>0</v>
      </c>
      <c r="U288" s="428">
        <f t="shared" si="53"/>
        <v>29960.049884709453</v>
      </c>
    </row>
    <row r="289" spans="1:21" x14ac:dyDescent="0.25">
      <c r="A289" s="108">
        <f>Données!A289</f>
        <v>5924</v>
      </c>
      <c r="B289" s="109" t="str">
        <f>Données!B289</f>
        <v>Orges</v>
      </c>
      <c r="C289" s="304">
        <f>Données!C289</f>
        <v>416</v>
      </c>
      <c r="D289" s="300">
        <f t="shared" si="49"/>
        <v>416</v>
      </c>
      <c r="E289" s="300">
        <f t="shared" si="58"/>
        <v>0</v>
      </c>
      <c r="F289" s="305">
        <f t="shared" si="58"/>
        <v>0</v>
      </c>
      <c r="G289" s="299">
        <f t="shared" si="58"/>
        <v>0</v>
      </c>
      <c r="H289" s="300">
        <f t="shared" si="58"/>
        <v>0</v>
      </c>
      <c r="I289" s="305">
        <f t="shared" si="58"/>
        <v>0</v>
      </c>
      <c r="J289" s="305">
        <f t="shared" si="58"/>
        <v>0</v>
      </c>
      <c r="K289" s="306">
        <f t="shared" si="50"/>
        <v>0</v>
      </c>
      <c r="L289" s="305">
        <f t="shared" si="51"/>
        <v>832</v>
      </c>
      <c r="M289" s="431">
        <f>Données!AE289</f>
        <v>0</v>
      </c>
      <c r="N289" s="433">
        <v>0</v>
      </c>
      <c r="O289" s="300">
        <f t="shared" si="48"/>
        <v>416</v>
      </c>
      <c r="P289" s="305">
        <f t="shared" si="52"/>
        <v>832</v>
      </c>
      <c r="Q289" s="306">
        <f t="shared" si="54"/>
        <v>12890.750432410041</v>
      </c>
      <c r="R289" s="305">
        <f t="shared" si="55"/>
        <v>28242.946981254678</v>
      </c>
      <c r="S289" s="299">
        <f t="shared" si="56"/>
        <v>20873.171999465296</v>
      </c>
      <c r="T289" s="305">
        <f t="shared" si="57"/>
        <v>0</v>
      </c>
      <c r="U289" s="428">
        <f t="shared" si="53"/>
        <v>62006.869413130014</v>
      </c>
    </row>
    <row r="290" spans="1:21" x14ac:dyDescent="0.25">
      <c r="A290" s="108">
        <f>Données!A290</f>
        <v>5925</v>
      </c>
      <c r="B290" s="109" t="str">
        <f>Données!B290</f>
        <v>Orzens</v>
      </c>
      <c r="C290" s="304">
        <f>Données!C290</f>
        <v>216</v>
      </c>
      <c r="D290" s="300">
        <f t="shared" si="49"/>
        <v>216</v>
      </c>
      <c r="E290" s="300">
        <f t="shared" si="58"/>
        <v>0</v>
      </c>
      <c r="F290" s="305">
        <f t="shared" si="58"/>
        <v>0</v>
      </c>
      <c r="G290" s="299">
        <f t="shared" si="58"/>
        <v>0</v>
      </c>
      <c r="H290" s="300">
        <f t="shared" si="58"/>
        <v>0</v>
      </c>
      <c r="I290" s="305">
        <f t="shared" si="58"/>
        <v>0</v>
      </c>
      <c r="J290" s="305">
        <f t="shared" si="58"/>
        <v>0</v>
      </c>
      <c r="K290" s="306">
        <f t="shared" si="50"/>
        <v>0</v>
      </c>
      <c r="L290" s="305">
        <f t="shared" si="51"/>
        <v>432</v>
      </c>
      <c r="M290" s="431">
        <f>Données!AE290</f>
        <v>0</v>
      </c>
      <c r="N290" s="433">
        <v>0</v>
      </c>
      <c r="O290" s="300">
        <f t="shared" si="48"/>
        <v>216</v>
      </c>
      <c r="P290" s="305">
        <f t="shared" si="52"/>
        <v>432</v>
      </c>
      <c r="Q290" s="306">
        <f t="shared" si="54"/>
        <v>6693.274262982136</v>
      </c>
      <c r="R290" s="305">
        <f t="shared" si="55"/>
        <v>14664.607086420698</v>
      </c>
      <c r="S290" s="299">
        <f t="shared" si="56"/>
        <v>10837.993153568519</v>
      </c>
      <c r="T290" s="305">
        <f t="shared" si="57"/>
        <v>0</v>
      </c>
      <c r="U290" s="428">
        <f t="shared" si="53"/>
        <v>32195.874502971354</v>
      </c>
    </row>
    <row r="291" spans="1:21" x14ac:dyDescent="0.25">
      <c r="A291" s="108">
        <f>Données!A291</f>
        <v>5926</v>
      </c>
      <c r="B291" s="109" t="str">
        <f>Données!B291</f>
        <v>Pomy</v>
      </c>
      <c r="C291" s="304">
        <f>Données!C291</f>
        <v>904</v>
      </c>
      <c r="D291" s="300">
        <f t="shared" si="49"/>
        <v>904</v>
      </c>
      <c r="E291" s="300">
        <f t="shared" si="58"/>
        <v>0</v>
      </c>
      <c r="F291" s="305">
        <f t="shared" si="58"/>
        <v>0</v>
      </c>
      <c r="G291" s="299">
        <f t="shared" si="58"/>
        <v>0</v>
      </c>
      <c r="H291" s="300">
        <f t="shared" si="58"/>
        <v>0</v>
      </c>
      <c r="I291" s="305">
        <f t="shared" si="58"/>
        <v>0</v>
      </c>
      <c r="J291" s="305">
        <f t="shared" si="58"/>
        <v>0</v>
      </c>
      <c r="K291" s="306">
        <f t="shared" si="50"/>
        <v>0</v>
      </c>
      <c r="L291" s="305">
        <f t="shared" si="51"/>
        <v>1808</v>
      </c>
      <c r="M291" s="431">
        <f>Données!AE291</f>
        <v>1</v>
      </c>
      <c r="N291" s="433">
        <v>1</v>
      </c>
      <c r="O291" s="300">
        <f t="shared" si="48"/>
        <v>0</v>
      </c>
      <c r="P291" s="305">
        <f t="shared" si="52"/>
        <v>0</v>
      </c>
      <c r="Q291" s="306">
        <f t="shared" si="54"/>
        <v>28012.592285814124</v>
      </c>
      <c r="R291" s="305">
        <f t="shared" si="55"/>
        <v>0</v>
      </c>
      <c r="S291" s="299">
        <f t="shared" si="56"/>
        <v>0</v>
      </c>
      <c r="T291" s="305">
        <f t="shared" si="57"/>
        <v>0</v>
      </c>
      <c r="U291" s="428">
        <f t="shared" si="53"/>
        <v>28012.592285814124</v>
      </c>
    </row>
    <row r="292" spans="1:21" x14ac:dyDescent="0.25">
      <c r="A292" s="108">
        <f>Données!A292</f>
        <v>5928</v>
      </c>
      <c r="B292" s="109" t="str">
        <f>Données!B292</f>
        <v>Rovray</v>
      </c>
      <c r="C292" s="304">
        <f>Données!C292</f>
        <v>198</v>
      </c>
      <c r="D292" s="300">
        <f t="shared" si="49"/>
        <v>198</v>
      </c>
      <c r="E292" s="300">
        <f t="shared" si="58"/>
        <v>0</v>
      </c>
      <c r="F292" s="305">
        <f t="shared" si="58"/>
        <v>0</v>
      </c>
      <c r="G292" s="299">
        <f t="shared" si="58"/>
        <v>0</v>
      </c>
      <c r="H292" s="300">
        <f t="shared" si="58"/>
        <v>0</v>
      </c>
      <c r="I292" s="305">
        <f t="shared" si="58"/>
        <v>0</v>
      </c>
      <c r="J292" s="305">
        <f t="shared" si="58"/>
        <v>0</v>
      </c>
      <c r="K292" s="306">
        <f t="shared" si="50"/>
        <v>0</v>
      </c>
      <c r="L292" s="305">
        <f t="shared" si="51"/>
        <v>396</v>
      </c>
      <c r="M292" s="431">
        <f>Données!AE292</f>
        <v>0</v>
      </c>
      <c r="N292" s="433">
        <v>0</v>
      </c>
      <c r="O292" s="300">
        <f t="shared" si="48"/>
        <v>198</v>
      </c>
      <c r="P292" s="305">
        <f t="shared" si="52"/>
        <v>396</v>
      </c>
      <c r="Q292" s="306">
        <f t="shared" si="54"/>
        <v>6135.5014077336245</v>
      </c>
      <c r="R292" s="305">
        <f t="shared" si="55"/>
        <v>13442.556495885639</v>
      </c>
      <c r="S292" s="299">
        <f t="shared" si="56"/>
        <v>9934.8270574378093</v>
      </c>
      <c r="T292" s="305">
        <f t="shared" si="57"/>
        <v>0</v>
      </c>
      <c r="U292" s="428">
        <f t="shared" si="53"/>
        <v>29512.884961057076</v>
      </c>
    </row>
    <row r="293" spans="1:21" x14ac:dyDescent="0.25">
      <c r="A293" s="108">
        <f>Données!A293</f>
        <v>5929</v>
      </c>
      <c r="B293" s="109" t="str">
        <f>Données!B293</f>
        <v>Suchy</v>
      </c>
      <c r="C293" s="304">
        <f>Données!C293</f>
        <v>672</v>
      </c>
      <c r="D293" s="300">
        <f t="shared" si="49"/>
        <v>672</v>
      </c>
      <c r="E293" s="300">
        <f t="shared" si="58"/>
        <v>0</v>
      </c>
      <c r="F293" s="305">
        <f t="shared" si="58"/>
        <v>0</v>
      </c>
      <c r="G293" s="299">
        <f t="shared" si="58"/>
        <v>0</v>
      </c>
      <c r="H293" s="300">
        <f t="shared" si="58"/>
        <v>0</v>
      </c>
      <c r="I293" s="305">
        <f t="shared" si="58"/>
        <v>0</v>
      </c>
      <c r="J293" s="305">
        <f t="shared" si="58"/>
        <v>0</v>
      </c>
      <c r="K293" s="306">
        <f t="shared" si="50"/>
        <v>0</v>
      </c>
      <c r="L293" s="305">
        <f t="shared" si="51"/>
        <v>1344</v>
      </c>
      <c r="M293" s="431">
        <f>Données!AE293</f>
        <v>1</v>
      </c>
      <c r="N293" s="433">
        <v>1</v>
      </c>
      <c r="O293" s="300">
        <f t="shared" si="48"/>
        <v>0</v>
      </c>
      <c r="P293" s="305">
        <f t="shared" si="52"/>
        <v>0</v>
      </c>
      <c r="Q293" s="306">
        <f t="shared" si="54"/>
        <v>20823.519929277758</v>
      </c>
      <c r="R293" s="305">
        <f t="shared" si="55"/>
        <v>0</v>
      </c>
      <c r="S293" s="299">
        <f t="shared" si="56"/>
        <v>0</v>
      </c>
      <c r="T293" s="305">
        <f t="shared" si="57"/>
        <v>0</v>
      </c>
      <c r="U293" s="428">
        <f t="shared" si="53"/>
        <v>20823.519929277758</v>
      </c>
    </row>
    <row r="294" spans="1:21" x14ac:dyDescent="0.25">
      <c r="A294" s="108">
        <f>Données!A294</f>
        <v>5931</v>
      </c>
      <c r="B294" s="109" t="str">
        <f>Données!B294</f>
        <v>Treycovagnes</v>
      </c>
      <c r="C294" s="304">
        <f>Données!C294</f>
        <v>518</v>
      </c>
      <c r="D294" s="300">
        <f t="shared" si="49"/>
        <v>518</v>
      </c>
      <c r="E294" s="300">
        <f t="shared" si="58"/>
        <v>0</v>
      </c>
      <c r="F294" s="305">
        <f t="shared" si="58"/>
        <v>0</v>
      </c>
      <c r="G294" s="299">
        <f t="shared" si="58"/>
        <v>0</v>
      </c>
      <c r="H294" s="300">
        <f t="shared" si="58"/>
        <v>0</v>
      </c>
      <c r="I294" s="305">
        <f t="shared" si="58"/>
        <v>0</v>
      </c>
      <c r="J294" s="305">
        <f t="shared" si="58"/>
        <v>0</v>
      </c>
      <c r="K294" s="306">
        <f t="shared" si="50"/>
        <v>0</v>
      </c>
      <c r="L294" s="305">
        <f t="shared" si="51"/>
        <v>1036</v>
      </c>
      <c r="M294" s="431">
        <f>Données!AE294</f>
        <v>1</v>
      </c>
      <c r="N294" s="433">
        <v>1</v>
      </c>
      <c r="O294" s="300">
        <f t="shared" si="48"/>
        <v>0</v>
      </c>
      <c r="P294" s="305">
        <f t="shared" si="52"/>
        <v>0</v>
      </c>
      <c r="Q294" s="306">
        <f t="shared" si="54"/>
        <v>16051.463278818272</v>
      </c>
      <c r="R294" s="305">
        <f t="shared" si="55"/>
        <v>0</v>
      </c>
      <c r="S294" s="299">
        <f t="shared" si="56"/>
        <v>0</v>
      </c>
      <c r="T294" s="305">
        <f t="shared" si="57"/>
        <v>0</v>
      </c>
      <c r="U294" s="428">
        <f t="shared" si="53"/>
        <v>16051.463278818272</v>
      </c>
    </row>
    <row r="295" spans="1:21" x14ac:dyDescent="0.25">
      <c r="A295" s="108">
        <f>Données!A295</f>
        <v>5932</v>
      </c>
      <c r="B295" s="109" t="str">
        <f>Données!B295</f>
        <v>Ursins</v>
      </c>
      <c r="C295" s="304">
        <f>Données!C295</f>
        <v>227</v>
      </c>
      <c r="D295" s="300">
        <f t="shared" si="49"/>
        <v>227</v>
      </c>
      <c r="E295" s="300">
        <f t="shared" si="58"/>
        <v>0</v>
      </c>
      <c r="F295" s="305">
        <f t="shared" si="58"/>
        <v>0</v>
      </c>
      <c r="G295" s="299">
        <f t="shared" si="58"/>
        <v>0</v>
      </c>
      <c r="H295" s="300">
        <f t="shared" si="58"/>
        <v>0</v>
      </c>
      <c r="I295" s="305">
        <f t="shared" si="58"/>
        <v>0</v>
      </c>
      <c r="J295" s="305">
        <f t="shared" si="58"/>
        <v>0</v>
      </c>
      <c r="K295" s="306">
        <f t="shared" si="50"/>
        <v>0</v>
      </c>
      <c r="L295" s="305">
        <f t="shared" si="51"/>
        <v>454</v>
      </c>
      <c r="M295" s="431">
        <f>Données!AE295</f>
        <v>0</v>
      </c>
      <c r="N295" s="433">
        <v>0</v>
      </c>
      <c r="O295" s="300">
        <f t="shared" si="48"/>
        <v>227</v>
      </c>
      <c r="P295" s="305">
        <f t="shared" si="52"/>
        <v>454</v>
      </c>
      <c r="Q295" s="306">
        <f t="shared" si="54"/>
        <v>7034.1354523006712</v>
      </c>
      <c r="R295" s="305">
        <f t="shared" si="55"/>
        <v>15411.415780636567</v>
      </c>
      <c r="S295" s="299">
        <f t="shared" si="56"/>
        <v>11389.927990092843</v>
      </c>
      <c r="T295" s="305">
        <f t="shared" si="57"/>
        <v>0</v>
      </c>
      <c r="U295" s="428">
        <f t="shared" si="53"/>
        <v>33835.479223030081</v>
      </c>
    </row>
    <row r="296" spans="1:21" x14ac:dyDescent="0.25">
      <c r="A296" s="108">
        <f>Données!A296</f>
        <v>5933</v>
      </c>
      <c r="B296" s="109" t="str">
        <f>Données!B296</f>
        <v>Valeyres-sous-Montagny</v>
      </c>
      <c r="C296" s="304">
        <f>Données!C296</f>
        <v>717</v>
      </c>
      <c r="D296" s="300">
        <f t="shared" si="49"/>
        <v>717</v>
      </c>
      <c r="E296" s="300">
        <f t="shared" si="58"/>
        <v>0</v>
      </c>
      <c r="F296" s="305">
        <f t="shared" si="58"/>
        <v>0</v>
      </c>
      <c r="G296" s="299">
        <f t="shared" si="58"/>
        <v>0</v>
      </c>
      <c r="H296" s="300">
        <f t="shared" si="58"/>
        <v>0</v>
      </c>
      <c r="I296" s="305">
        <f t="shared" si="58"/>
        <v>0</v>
      </c>
      <c r="J296" s="305">
        <f t="shared" si="58"/>
        <v>0</v>
      </c>
      <c r="K296" s="306">
        <f t="shared" si="50"/>
        <v>0</v>
      </c>
      <c r="L296" s="305">
        <f t="shared" si="51"/>
        <v>1434</v>
      </c>
      <c r="M296" s="431">
        <f>Données!AE296</f>
        <v>0</v>
      </c>
      <c r="N296" s="433">
        <v>0</v>
      </c>
      <c r="O296" s="300">
        <f t="shared" si="48"/>
        <v>717</v>
      </c>
      <c r="P296" s="305">
        <f t="shared" si="52"/>
        <v>1434</v>
      </c>
      <c r="Q296" s="306">
        <f t="shared" si="54"/>
        <v>22217.952067399034</v>
      </c>
      <c r="R296" s="305">
        <f t="shared" si="55"/>
        <v>48678.348522979817</v>
      </c>
      <c r="S296" s="299">
        <f t="shared" si="56"/>
        <v>35976.116162539947</v>
      </c>
      <c r="T296" s="305">
        <f t="shared" si="57"/>
        <v>0</v>
      </c>
      <c r="U296" s="428">
        <f t="shared" si="53"/>
        <v>106872.4167529188</v>
      </c>
    </row>
    <row r="297" spans="1:21" x14ac:dyDescent="0.25">
      <c r="A297" s="108">
        <f>Données!A297</f>
        <v>5934</v>
      </c>
      <c r="B297" s="109" t="str">
        <f>Données!B297</f>
        <v>Valeyres-sous-Ursins</v>
      </c>
      <c r="C297" s="304">
        <f>Données!C297</f>
        <v>225</v>
      </c>
      <c r="D297" s="300">
        <f t="shared" si="49"/>
        <v>225</v>
      </c>
      <c r="E297" s="300">
        <f t="shared" si="58"/>
        <v>0</v>
      </c>
      <c r="F297" s="305">
        <f t="shared" si="58"/>
        <v>0</v>
      </c>
      <c r="G297" s="299">
        <f t="shared" si="58"/>
        <v>0</v>
      </c>
      <c r="H297" s="300">
        <f t="shared" si="58"/>
        <v>0</v>
      </c>
      <c r="I297" s="305">
        <f t="shared" si="58"/>
        <v>0</v>
      </c>
      <c r="J297" s="305">
        <f t="shared" si="58"/>
        <v>0</v>
      </c>
      <c r="K297" s="306">
        <f t="shared" si="50"/>
        <v>0</v>
      </c>
      <c r="L297" s="305">
        <f t="shared" si="51"/>
        <v>450</v>
      </c>
      <c r="M297" s="431">
        <f>Données!AE297</f>
        <v>0.75</v>
      </c>
      <c r="N297" s="433">
        <v>0</v>
      </c>
      <c r="O297" s="300">
        <f t="shared" si="48"/>
        <v>225</v>
      </c>
      <c r="P297" s="305">
        <f t="shared" si="52"/>
        <v>450</v>
      </c>
      <c r="Q297" s="306">
        <f t="shared" si="54"/>
        <v>6972.1606906063917</v>
      </c>
      <c r="R297" s="305">
        <f t="shared" si="55"/>
        <v>15275.632381688227</v>
      </c>
      <c r="S297" s="299">
        <f t="shared" si="56"/>
        <v>11289.576201633874</v>
      </c>
      <c r="T297" s="305">
        <f t="shared" si="57"/>
        <v>-19923.906437491576</v>
      </c>
      <c r="U297" s="428">
        <f t="shared" si="53"/>
        <v>13613.462836436913</v>
      </c>
    </row>
    <row r="298" spans="1:21" x14ac:dyDescent="0.25">
      <c r="A298" s="108">
        <f>Données!A298</f>
        <v>5935</v>
      </c>
      <c r="B298" s="109" t="str">
        <f>Données!B298</f>
        <v>Villars-Epeney</v>
      </c>
      <c r="C298" s="304">
        <f>Données!C298</f>
        <v>109</v>
      </c>
      <c r="D298" s="300">
        <f t="shared" si="49"/>
        <v>109</v>
      </c>
      <c r="E298" s="300">
        <f t="shared" si="58"/>
        <v>0</v>
      </c>
      <c r="F298" s="305">
        <f t="shared" si="58"/>
        <v>0</v>
      </c>
      <c r="G298" s="299">
        <f t="shared" si="58"/>
        <v>0</v>
      </c>
      <c r="H298" s="300">
        <f t="shared" si="58"/>
        <v>0</v>
      </c>
      <c r="I298" s="305">
        <f t="shared" si="58"/>
        <v>0</v>
      </c>
      <c r="J298" s="305">
        <f t="shared" si="58"/>
        <v>0</v>
      </c>
      <c r="K298" s="306">
        <f t="shared" si="50"/>
        <v>0</v>
      </c>
      <c r="L298" s="305">
        <f t="shared" si="51"/>
        <v>218</v>
      </c>
      <c r="M298" s="431">
        <f>Données!AE298</f>
        <v>0</v>
      </c>
      <c r="N298" s="433">
        <v>0</v>
      </c>
      <c r="O298" s="300">
        <f t="shared" si="48"/>
        <v>109</v>
      </c>
      <c r="P298" s="305">
        <f t="shared" si="52"/>
        <v>218</v>
      </c>
      <c r="Q298" s="306">
        <f t="shared" si="54"/>
        <v>3377.6245123382078</v>
      </c>
      <c r="R298" s="305">
        <f t="shared" si="55"/>
        <v>7400.1952426845191</v>
      </c>
      <c r="S298" s="299">
        <f t="shared" si="56"/>
        <v>5469.1724710137441</v>
      </c>
      <c r="T298" s="305">
        <f t="shared" si="57"/>
        <v>0</v>
      </c>
      <c r="U298" s="428">
        <f t="shared" si="53"/>
        <v>16246.992226036471</v>
      </c>
    </row>
    <row r="299" spans="1:21" x14ac:dyDescent="0.25">
      <c r="A299" s="108">
        <f>Données!A299</f>
        <v>5937</v>
      </c>
      <c r="B299" s="109" t="str">
        <f>Données!B299</f>
        <v>Vugelles-La Mothe</v>
      </c>
      <c r="C299" s="304">
        <f>Données!C299</f>
        <v>142</v>
      </c>
      <c r="D299" s="300">
        <f t="shared" si="49"/>
        <v>142</v>
      </c>
      <c r="E299" s="300">
        <f t="shared" si="58"/>
        <v>0</v>
      </c>
      <c r="F299" s="305">
        <f t="shared" si="58"/>
        <v>0</v>
      </c>
      <c r="G299" s="299">
        <f t="shared" si="58"/>
        <v>0</v>
      </c>
      <c r="H299" s="300">
        <f t="shared" si="58"/>
        <v>0</v>
      </c>
      <c r="I299" s="305">
        <f t="shared" si="58"/>
        <v>0</v>
      </c>
      <c r="J299" s="305">
        <f t="shared" si="58"/>
        <v>0</v>
      </c>
      <c r="K299" s="306">
        <f t="shared" si="50"/>
        <v>0</v>
      </c>
      <c r="L299" s="305">
        <f t="shared" si="51"/>
        <v>284</v>
      </c>
      <c r="M299" s="431">
        <f>Données!AE299</f>
        <v>0</v>
      </c>
      <c r="N299" s="433">
        <v>0</v>
      </c>
      <c r="O299" s="300">
        <f t="shared" si="48"/>
        <v>142</v>
      </c>
      <c r="P299" s="305">
        <f t="shared" si="52"/>
        <v>284</v>
      </c>
      <c r="Q299" s="306">
        <f t="shared" si="54"/>
        <v>4400.2080802938117</v>
      </c>
      <c r="R299" s="305">
        <f t="shared" si="55"/>
        <v>9640.6213253321257</v>
      </c>
      <c r="S299" s="299">
        <f t="shared" si="56"/>
        <v>7124.9769805867118</v>
      </c>
      <c r="T299" s="305">
        <f t="shared" si="57"/>
        <v>0</v>
      </c>
      <c r="U299" s="428">
        <f t="shared" si="53"/>
        <v>21165.806386212647</v>
      </c>
    </row>
    <row r="300" spans="1:21" x14ac:dyDescent="0.25">
      <c r="A300" s="108">
        <f>Données!A300</f>
        <v>5938</v>
      </c>
      <c r="B300" s="109" t="str">
        <f>Données!B300</f>
        <v>Yverdon-les-Bains</v>
      </c>
      <c r="C300" s="304">
        <f>Données!C300</f>
        <v>30600</v>
      </c>
      <c r="D300" s="300">
        <f t="shared" si="49"/>
        <v>1000</v>
      </c>
      <c r="E300" s="300">
        <f t="shared" si="58"/>
        <v>2000</v>
      </c>
      <c r="F300" s="305">
        <f t="shared" si="58"/>
        <v>2000</v>
      </c>
      <c r="G300" s="299">
        <f t="shared" si="58"/>
        <v>7000</v>
      </c>
      <c r="H300" s="300">
        <f t="shared" si="58"/>
        <v>3000</v>
      </c>
      <c r="I300" s="305">
        <f t="shared" si="58"/>
        <v>15000</v>
      </c>
      <c r="J300" s="305">
        <f t="shared" si="58"/>
        <v>600</v>
      </c>
      <c r="K300" s="306">
        <f t="shared" si="50"/>
        <v>0</v>
      </c>
      <c r="L300" s="305">
        <f t="shared" si="51"/>
        <v>152200</v>
      </c>
      <c r="M300" s="431">
        <f>Données!AE300</f>
        <v>1</v>
      </c>
      <c r="N300" s="433">
        <v>1</v>
      </c>
      <c r="O300" s="300">
        <f t="shared" si="48"/>
        <v>0</v>
      </c>
      <c r="P300" s="305">
        <f t="shared" si="52"/>
        <v>0</v>
      </c>
      <c r="Q300" s="306">
        <f t="shared" si="54"/>
        <v>948213.85392246931</v>
      </c>
      <c r="R300" s="305">
        <f t="shared" si="55"/>
        <v>0</v>
      </c>
      <c r="S300" s="299">
        <f t="shared" si="56"/>
        <v>0</v>
      </c>
      <c r="T300" s="305">
        <f t="shared" si="57"/>
        <v>0</v>
      </c>
      <c r="U300" s="428">
        <f t="shared" si="53"/>
        <v>948213.85392246931</v>
      </c>
    </row>
    <row r="301" spans="1:21" x14ac:dyDescent="0.25">
      <c r="A301" s="110">
        <f>Données!A301</f>
        <v>5939</v>
      </c>
      <c r="B301" s="111" t="str">
        <f>Données!B301</f>
        <v>Yvonand</v>
      </c>
      <c r="C301" s="310">
        <f>Données!C301</f>
        <v>3536</v>
      </c>
      <c r="D301" s="300">
        <f t="shared" si="49"/>
        <v>1000</v>
      </c>
      <c r="E301" s="300">
        <f t="shared" si="58"/>
        <v>2000</v>
      </c>
      <c r="F301" s="305">
        <f t="shared" si="58"/>
        <v>536</v>
      </c>
      <c r="G301" s="299">
        <f t="shared" si="58"/>
        <v>0</v>
      </c>
      <c r="H301" s="300">
        <f t="shared" si="58"/>
        <v>0</v>
      </c>
      <c r="I301" s="305">
        <f t="shared" si="58"/>
        <v>0</v>
      </c>
      <c r="J301" s="305">
        <f t="shared" si="58"/>
        <v>0</v>
      </c>
      <c r="K301" s="306">
        <f t="shared" si="50"/>
        <v>0</v>
      </c>
      <c r="L301" s="305">
        <f t="shared" si="51"/>
        <v>9876</v>
      </c>
      <c r="M301" s="431">
        <f>Données!AE301</f>
        <v>0</v>
      </c>
      <c r="N301" s="433">
        <v>0</v>
      </c>
      <c r="O301" s="300">
        <f t="shared" si="48"/>
        <v>3536</v>
      </c>
      <c r="P301" s="305">
        <f t="shared" si="52"/>
        <v>9876</v>
      </c>
      <c r="Q301" s="306">
        <f t="shared" si="54"/>
        <v>109571.37867548534</v>
      </c>
      <c r="R301" s="305">
        <f t="shared" si="55"/>
        <v>240065.04934066476</v>
      </c>
      <c r="S301" s="299">
        <f t="shared" si="56"/>
        <v>247768.56570519143</v>
      </c>
      <c r="T301" s="312">
        <f t="shared" si="57"/>
        <v>0</v>
      </c>
      <c r="U301" s="429">
        <f t="shared" si="53"/>
        <v>597404.99372134148</v>
      </c>
    </row>
    <row r="302" spans="1:21" x14ac:dyDescent="0.25">
      <c r="A302" s="2"/>
      <c r="C302" s="312">
        <f t="shared" ref="C302:U302" si="59">SUM(C8:C301)</f>
        <v>864226</v>
      </c>
      <c r="D302" s="327">
        <f t="shared" si="59"/>
        <v>214195</v>
      </c>
      <c r="E302" s="327">
        <f t="shared" si="59"/>
        <v>177295</v>
      </c>
      <c r="F302" s="327">
        <f t="shared" si="59"/>
        <v>94201</v>
      </c>
      <c r="G302" s="327">
        <f t="shared" si="59"/>
        <v>161287</v>
      </c>
      <c r="H302" s="327">
        <f t="shared" si="59"/>
        <v>30674</v>
      </c>
      <c r="I302" s="327">
        <f t="shared" si="59"/>
        <v>70267</v>
      </c>
      <c r="J302" s="318">
        <f t="shared" si="59"/>
        <v>15600</v>
      </c>
      <c r="K302" s="318">
        <f t="shared" si="59"/>
        <v>100707</v>
      </c>
      <c r="L302" s="318">
        <f t="shared" si="59"/>
        <v>3424954.5</v>
      </c>
      <c r="M302" s="328">
        <f t="shared" si="59"/>
        <v>49.5</v>
      </c>
      <c r="N302" s="318">
        <f t="shared" si="59"/>
        <v>48</v>
      </c>
      <c r="O302" s="329">
        <f t="shared" si="59"/>
        <v>366278</v>
      </c>
      <c r="P302" s="329">
        <f t="shared" si="59"/>
        <v>991202.5</v>
      </c>
      <c r="Q302" s="318">
        <f t="shared" si="59"/>
        <v>26780100.200000003</v>
      </c>
      <c r="R302" s="318">
        <f t="shared" si="59"/>
        <v>24867235.90000001</v>
      </c>
      <c r="S302" s="318">
        <f t="shared" si="59"/>
        <v>24867235.899999999</v>
      </c>
      <c r="T302" s="312">
        <f t="shared" si="59"/>
        <v>-71814.613870247413</v>
      </c>
      <c r="U302" s="326">
        <f t="shared" si="59"/>
        <v>76442757.386129797</v>
      </c>
    </row>
    <row r="303" spans="1:21" x14ac:dyDescent="0.25">
      <c r="D303" s="50">
        <f>COUNTIF(D8:D301,"&gt;0")</f>
        <v>294</v>
      </c>
      <c r="E303" s="50">
        <f t="shared" ref="E303:K303" si="60">COUNTIF(E8:E301,"&gt;0")</f>
        <v>141</v>
      </c>
      <c r="F303" s="50">
        <f t="shared" si="60"/>
        <v>66</v>
      </c>
      <c r="G303" s="50">
        <f t="shared" si="60"/>
        <v>37</v>
      </c>
      <c r="H303" s="50">
        <f t="shared" si="60"/>
        <v>15</v>
      </c>
      <c r="I303" s="50">
        <f t="shared" si="60"/>
        <v>8</v>
      </c>
      <c r="J303" s="50">
        <f t="shared" si="60"/>
        <v>2</v>
      </c>
      <c r="K303" s="50">
        <f t="shared" si="60"/>
        <v>1</v>
      </c>
    </row>
    <row r="304" spans="1:21" ht="30" x14ac:dyDescent="0.25">
      <c r="Q304" s="214" t="s">
        <v>521</v>
      </c>
      <c r="R304" s="214" t="s">
        <v>519</v>
      </c>
      <c r="S304" s="214" t="s">
        <v>520</v>
      </c>
    </row>
    <row r="305" spans="17:19" x14ac:dyDescent="0.25">
      <c r="Q305" s="67">
        <f>Q302/C302</f>
        <v>30.987380847139526</v>
      </c>
      <c r="R305" s="67">
        <f>R302/O302</f>
        <v>67.891699474169926</v>
      </c>
      <c r="S305" s="65">
        <f>S302/P302</f>
        <v>25.08794711474194</v>
      </c>
    </row>
  </sheetData>
  <sheetProtection sheet="1" objects="1" scenarios="1"/>
  <mergeCells count="7">
    <mergeCell ref="D7:K7"/>
    <mergeCell ref="Q4:Q5"/>
    <mergeCell ref="Q2:S2"/>
    <mergeCell ref="R4:S4"/>
    <mergeCell ref="Q3:S3"/>
    <mergeCell ref="C3:K3"/>
    <mergeCell ref="M6:N6"/>
  </mergeCells>
  <conditionalFormatting sqref="M6:N6">
    <cfRule type="cellIs" dxfId="0" priority="1" operator="equal">
      <formula>"Changement en cours d'année"</formula>
    </cfRule>
  </conditionalFormatting>
  <conditionalFormatting sqref="M8:N301">
    <cfRule type="cellIs" dxfId="1" priority="2" operator="between">
      <formula>0.01</formula>
      <formula>0.99</formula>
    </cfRule>
  </conditionalFormatting>
  <hyperlinks>
    <hyperlink ref="C1" location="PCS!A1" display="← Précédent" xr:uid="{9A4816EC-5221-46DD-A541-113875948F23}"/>
    <hyperlink ref="D1" location="'Table des matières'!A1" display="Table des matières" xr:uid="{7D03276D-F7D4-4D40-B79D-9C04F6024799}"/>
    <hyperlink ref="E1" location="Synthèse!A1" display="Suivant →" xr:uid="{98BED1BF-BF3B-4F0E-B23E-97461C05BE03}"/>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14</vt:i4>
      </vt:variant>
      <vt:variant>
        <vt:lpstr>Plages nommées</vt:lpstr>
      </vt:variant>
      <vt:variant>
        <vt:i4>6</vt:i4>
      </vt:variant>
    </vt:vector>
  </HeadingPairs>
  <TitlesOfParts>
    <vt:vector size="20" baseType="lpstr">
      <vt:lpstr>Table des matières</vt:lpstr>
      <vt:lpstr>Paramètres</vt:lpstr>
      <vt:lpstr>Données</vt:lpstr>
      <vt:lpstr>RFS</vt:lpstr>
      <vt:lpstr>Ressources</vt:lpstr>
      <vt:lpstr>Besoins structurels</vt:lpstr>
      <vt:lpstr>Charges des villes</vt:lpstr>
      <vt:lpstr>PCS</vt:lpstr>
      <vt:lpstr>Police</vt:lpstr>
      <vt:lpstr>Synthèse</vt:lpstr>
      <vt:lpstr>Synthèse par commune</vt:lpstr>
      <vt:lpstr>Détail par commune</vt:lpstr>
      <vt:lpstr>Données par commune</vt:lpstr>
      <vt:lpstr>Prévisionnel</vt:lpstr>
      <vt:lpstr>Données!Impression_des_titres</vt:lpstr>
      <vt:lpstr>Ressources!Impression_des_titres</vt:lpstr>
      <vt:lpstr>RFS!Impression_des_titres</vt:lpstr>
      <vt:lpstr>'Détail par commune'!Zone_d_impression</vt:lpstr>
      <vt:lpstr>'Données par commune'!Zone_d_impression</vt:lpstr>
      <vt:lpstr>'Synthèse par commune'!Zone_d_impression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Cappelletti Fabio</dc:creator>
  <cp:lastModifiedBy>Cappelletti Fabio</cp:lastModifiedBy>
  <cp:lastPrinted>2026-05-20T15:03:05Z</cp:lastPrinted>
  <dcterms:created xsi:type="dcterms:W3CDTF">2022-09-02T12:13:21Z</dcterms:created>
  <dcterms:modified xsi:type="dcterms:W3CDTF">2026-06-25T08:27:20Z</dcterms:modified>
</cp:coreProperties>
</file>